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P:\Adaptation Fund\Projects and Programs\Project reports\Morocco\PPR3\"/>
    </mc:Choice>
  </mc:AlternateContent>
  <xr:revisionPtr revIDLastSave="0" documentId="8_{414EE7B2-3A4E-4770-BAF4-E3BEFE413D70}" xr6:coauthVersionLast="44" xr6:coauthVersionMax="44" xr10:uidLastSave="{00000000-0000-0000-0000-000000000000}"/>
  <bookViews>
    <workbookView xWindow="-110" yWindow="-110" windowWidth="19420" windowHeight="10420" tabRatio="883" firstSheet="6" activeTab="9" xr2:uid="{00000000-000D-0000-FFFF-FFFF00000000}"/>
  </bookViews>
  <sheets>
    <sheet name="Reliquats-au-31-déc" sheetId="17" state="hidden" r:id="rId1"/>
    <sheet name="Reliquats-au-31-déc USD" sheetId="12" state="hidden" r:id="rId2"/>
    <sheet name="Crédits_Engagements_2019" sheetId="30" state="hidden" r:id="rId3"/>
    <sheet name="PTBA-ANDZOA" sheetId="28" state="hidden" r:id="rId4"/>
    <sheet name="PTBA 4" sheetId="34" state="hidden" r:id="rId5"/>
    <sheet name="Versements" sheetId="35" state="hidden" r:id="rId6"/>
    <sheet name="Overview" sheetId="1" r:id="rId7"/>
    <sheet name="FinancialData-to-Dec-31-2019" sheetId="32" r:id="rId8"/>
    <sheet name="FinancialData-to-Mar-31-2020" sheetId="2" state="hidden" r:id="rId9"/>
    <sheet name="Project Indicators" sheetId="27" r:id="rId10"/>
    <sheet name="Risk Assesment" sheetId="4" r:id="rId11"/>
    <sheet name="Rating" sheetId="5" r:id="rId12"/>
    <sheet name="Lessons Learned" sheetId="9" r:id="rId13"/>
    <sheet name="Results Tracker-exemple" sheetId="11" state="hidden" r:id="rId14"/>
    <sheet name="Results Tracker" sheetId="18"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a">'[1]Results Tracker-exemple'!$G$146:$G$149</definedName>
    <definedName name="adapstrategy" localSheetId="9">'[3]PPR results tracker'!$I$152:$I$168</definedName>
    <definedName name="adapstrategy" localSheetId="14">'[3]PPR results tracker'!$I$152:$I$168</definedName>
    <definedName name="adapstrategy">'[2]PPR results tracker'!$I$152:$I$168</definedName>
    <definedName name="awareness" localSheetId="9">'[3]PPR results tracker'!$G$146:$G$150</definedName>
    <definedName name="awareness" localSheetId="14">'[3]PPR results tracker'!$G$146:$G$150</definedName>
    <definedName name="awareness">'[2]PPR results tracker'!$G$146:$G$150</definedName>
    <definedName name="capacity" localSheetId="9">'[3]PPR results tracker'!$F$146:$F$149</definedName>
    <definedName name="capacity" localSheetId="14">'[3]PPR results tracker'!$F$146:$F$149</definedName>
    <definedName name="capacity">'[2]PPR results tracker'!$F$146:$F$149</definedName>
    <definedName name="effectiveness" localSheetId="9">'[3]PPR results tracker'!$K$146:$K$150</definedName>
    <definedName name="effectiveness" localSheetId="14">'[3]PPR results tracker'!$K$146:$K$150</definedName>
    <definedName name="effectiveness">'[2]PPR results tracker'!$K$146:$K$150</definedName>
    <definedName name="enforcemnt" localSheetId="9">'[3]PPR results tracker'!$I$127:$I$131</definedName>
    <definedName name="enforcemnt" localSheetId="14">'[3]PPR results tracker'!$I$127:$I$131</definedName>
    <definedName name="enforcemnt">'[2]PPR results tracker'!$I$127:$I$131</definedName>
    <definedName name="ewsscale" localSheetId="9">'[3]PPR results tracker'!$G$136:$G$140</definedName>
    <definedName name="ewsscale" localSheetId="14">'[3]PPR results tracker'!$G$136:$G$140</definedName>
    <definedName name="ewsscale">'[2]PPR results tracker'!$G$136:$G$140</definedName>
    <definedName name="group" localSheetId="9">'[3]PPR results tracker'!$E$138:$E$140</definedName>
    <definedName name="group" localSheetId="14">'[3]PPR results tracker'!$E$138:$E$140</definedName>
    <definedName name="group">'[2]PPR results tracker'!$E$138:$E$140</definedName>
    <definedName name="household" localSheetId="9">'[3]PPR results tracker'!$H$141:$H$145</definedName>
    <definedName name="household" localSheetId="14">'[3]PPR results tracker'!$H$141:$H$145</definedName>
    <definedName name="household">'[2]PPR results tracker'!$H$141:$H$145</definedName>
    <definedName name="iincome" localSheetId="7">#REF!</definedName>
    <definedName name="iincome" localSheetId="9">#REF!</definedName>
    <definedName name="iincome" localSheetId="14">#REF!</definedName>
    <definedName name="iincome">#REF!</definedName>
    <definedName name="improvement" localSheetId="9">'[3]PPR results tracker'!$I$146:$I$150</definedName>
    <definedName name="improvement" localSheetId="14">'[3]PPR results tracker'!$I$146:$I$150</definedName>
    <definedName name="improvement">'[2]PPR results tracker'!$I$146:$I$150</definedName>
    <definedName name="income" localSheetId="7">#REF!</definedName>
    <definedName name="income" localSheetId="9">#REF!</definedName>
    <definedName name="income" localSheetId="14">#REF!</definedName>
    <definedName name="income" localSheetId="13">#REF!</definedName>
    <definedName name="income">#REF!</definedName>
    <definedName name="incomelevel" localSheetId="14">'Results Tracker'!$E$136:$E$138</definedName>
    <definedName name="incomelevel">'Results Tracker-exemple'!$E$136:$E$138</definedName>
    <definedName name="incomesource" localSheetId="9">'[3]PPR results tracker'!$K$139:$K$142</definedName>
    <definedName name="incomesource" localSheetId="14">'[3]PPR results tracker'!$K$139:$K$142</definedName>
    <definedName name="incomesource">'[2]PPR results tracker'!$K$139:$K$142</definedName>
    <definedName name="info" localSheetId="14">'Results Tracker'!$E$155:$E$157</definedName>
    <definedName name="info">'Results Tracker-exemple'!$E$155:$E$157</definedName>
    <definedName name="integration" localSheetId="9">'[3]PPR results tracker'!$H$134:$H$138</definedName>
    <definedName name="integration" localSheetId="14">'[3]PPR results tracker'!$H$134:$H$138</definedName>
    <definedName name="integration">'[2]PPR results tracker'!$H$134:$H$138</definedName>
    <definedName name="Month">[4]Dropdowns!$G$2:$G$13</definedName>
    <definedName name="naturaldisaster" localSheetId="9">'[3]PPR results tracker'!$D$126:$D$133</definedName>
    <definedName name="naturaldisaster" localSheetId="14">'[3]PPR results tracker'!$D$126:$D$133</definedName>
    <definedName name="naturaldisaster">'[2]PPR results tracker'!$D$126:$D$133</definedName>
    <definedName name="overalleffect" localSheetId="14">'Results Tracker'!$D$155:$D$157</definedName>
    <definedName name="overalleffect">'Results Tracker-exemple'!$D$155:$D$157</definedName>
    <definedName name="physicalassets" localSheetId="14">'Results Tracker'!$J$155:$J$163</definedName>
    <definedName name="physicalassets">'Results Tracker-exemple'!$J$155:$J$163</definedName>
    <definedName name="policy" localSheetId="9">'[3]PPR results tracker'!$H$153:$H$176</definedName>
    <definedName name="policy" localSheetId="14">'[3]PPR results tracker'!$H$153:$H$176</definedName>
    <definedName name="policy">'[2]PPR results tracker'!$H$153:$H$176</definedName>
    <definedName name="_xlnm.Print_Area" localSheetId="2">Crédits_Engagements_2019!$A$1:$Q$26</definedName>
    <definedName name="_xlnm.Print_Area" localSheetId="3">'PTBA-ANDZOA'!$C$1:$AQ$90</definedName>
    <definedName name="_xlnm.Print_Area" localSheetId="1">'Reliquats-au-31-déc USD'!$A$1:$N$30</definedName>
    <definedName name="_xlnm.Print_Titles" localSheetId="3">'PTBA-ANDZOA'!$C:$H,'PTBA-ANDZOA'!$1:$3</definedName>
    <definedName name="quality" localSheetId="14">'Results Tracker'!$B$146:$B$150</definedName>
    <definedName name="quality">'Results Tracker-exemple'!$B$146:$B$150</definedName>
    <definedName name="question" localSheetId="14">'Results Tracker'!$F$146:$F$148</definedName>
    <definedName name="question">'Results Tracker-exemple'!$F$146:$F$148</definedName>
    <definedName name="rank" localSheetId="9">'[3]PPR results tracker'!$C$137:$C$141</definedName>
    <definedName name="rank" localSheetId="14">'[3]PPR results tracker'!$C$137:$C$141</definedName>
    <definedName name="rank">'[2]PPR results tracker'!$C$137:$C$141</definedName>
    <definedName name="responses" localSheetId="14">'Results Tracker'!$C$146:$C$150</definedName>
    <definedName name="responses">'Results Tracker-exemple'!$C$146:$C$150</definedName>
    <definedName name="responsiveness" localSheetId="9">'[3]PPR results tracker'!$H$146:$H$150</definedName>
    <definedName name="responsiveness" localSheetId="14">'[3]PPR results tracker'!$H$146:$H$150</definedName>
    <definedName name="responsiveness">'[2]PPR results tracker'!$H$146:$H$150</definedName>
    <definedName name="risk" localSheetId="9">'[3]PPR results tracker'!$G$130:$G$132</definedName>
    <definedName name="risk" localSheetId="14">'[3]PPR results tracker'!$G$130:$G$132</definedName>
    <definedName name="risk">'[2]PPR results tracker'!$G$130:$G$132</definedName>
    <definedName name="sectorlist" localSheetId="9">'[3]PPR results tracker'!$J$137:$J$145</definedName>
    <definedName name="sectorlist" localSheetId="14">'[3]PPR results tracker'!$J$137:$J$145</definedName>
    <definedName name="sectorlist">'[2]PPR results tracker'!$J$137:$J$145</definedName>
    <definedName name="sectors" localSheetId="9">'[3]PPR results tracker'!$J$138:$J$145</definedName>
    <definedName name="sectors" localSheetId="14">'[3]PPR results tracker'!$J$138:$J$145</definedName>
    <definedName name="sectors">'[2]PPR results tracker'!$J$138:$J$145</definedName>
    <definedName name="selectyn" localSheetId="9">'[3]PPR results tracker'!$E$132:$E$134</definedName>
    <definedName name="selectyn" localSheetId="14">'[3]PPR results tracker'!$E$132:$E$134</definedName>
    <definedName name="selectyn">'[2]PPR results tracker'!$E$132:$E$134</definedName>
    <definedName name="state" localSheetId="14">'Results Tracker'!$I$150:$I$152</definedName>
    <definedName name="state">'Results Tracker-exemple'!$I$150:$I$152</definedName>
    <definedName name="type" localSheetId="9">'[3]PPR results tracker'!$D$137:$D$140</definedName>
    <definedName name="type" localSheetId="14">'[3]PPR results tracker'!$D$137:$D$140</definedName>
    <definedName name="type">'[2]PPR results tracker'!$D$137:$D$140</definedName>
    <definedName name="type1" localSheetId="9">'[5]Results Tracker-exemple'!$G$146:$G$149</definedName>
    <definedName name="type1" localSheetId="14">'Results Tracker'!$G$146:$G$149</definedName>
    <definedName name="type1">'Results Tracker-exemple'!$G$146:$G$149</definedName>
    <definedName name="type2" localSheetId="9">'[3]PPR results tracker'!$D$142:$D$144</definedName>
    <definedName name="type2" localSheetId="14">'[3]PPR results tracker'!$D$142:$D$144</definedName>
    <definedName name="type2">'[2]PPR results tracker'!$D$142:$D$144</definedName>
    <definedName name="typenaturalassets" localSheetId="9">'[3]PPR results tracker'!$F$127:$F$131</definedName>
    <definedName name="typenaturalassets" localSheetId="14">'[3]PPR results tracker'!$F$127:$F$131</definedName>
    <definedName name="typenaturalassets">'[2]PPR results tracker'!$F$127:$F$131</definedName>
    <definedName name="Year">[4]Dropdowns!$H$2:$H$36</definedName>
    <definedName name="yesno" localSheetId="14">'Results Tracker'!$E$142:$E$143</definedName>
    <definedName name="yesno">'Results Tracker-exemple'!$E$142:$E$143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5" l="1"/>
  <c r="N5" i="35"/>
  <c r="M6" i="35"/>
  <c r="M5" i="35"/>
  <c r="H21" i="35"/>
  <c r="H19" i="35"/>
  <c r="E9" i="32" l="1"/>
  <c r="G17" i="35"/>
  <c r="H17" i="35"/>
  <c r="G16" i="35"/>
  <c r="H16" i="35"/>
  <c r="I12" i="35"/>
  <c r="I11" i="35"/>
  <c r="I10" i="35"/>
  <c r="I9" i="35"/>
  <c r="I8" i="35"/>
  <c r="I7" i="35"/>
  <c r="I6" i="35"/>
  <c r="I5" i="35"/>
  <c r="I4" i="35"/>
  <c r="AD50" i="28" l="1"/>
  <c r="AD53" i="28" s="1"/>
  <c r="AH88" i="28"/>
  <c r="AG88" i="28"/>
  <c r="AE88" i="28"/>
  <c r="AD88" i="28"/>
  <c r="AD72" i="28"/>
  <c r="AD79" i="28" s="1"/>
  <c r="AH79" i="28"/>
  <c r="AG79" i="28"/>
  <c r="AH62" i="28"/>
  <c r="AH69" i="28" s="1"/>
  <c r="AG62" i="28"/>
  <c r="AG69" i="28" s="1"/>
  <c r="AE62" i="28"/>
  <c r="AD62" i="28"/>
  <c r="AD42" i="28"/>
  <c r="AE42" i="28" s="1"/>
  <c r="J116" i="32" s="1"/>
  <c r="AD41" i="28"/>
  <c r="AE41" i="28" s="1"/>
  <c r="J115" i="32" s="1"/>
  <c r="AD40" i="28"/>
  <c r="AE40" i="28" s="1"/>
  <c r="J114" i="32" s="1"/>
  <c r="AD39" i="28"/>
  <c r="L65" i="18"/>
  <c r="F5" i="34"/>
  <c r="F9" i="34" s="1"/>
  <c r="F11" i="34" s="1"/>
  <c r="F13" i="34" s="1"/>
  <c r="I11" i="34"/>
  <c r="J135" i="32"/>
  <c r="J134" i="32"/>
  <c r="J133" i="32"/>
  <c r="J132" i="32"/>
  <c r="J131" i="32"/>
  <c r="J130" i="32"/>
  <c r="J129" i="32"/>
  <c r="J128" i="32"/>
  <c r="J126" i="32"/>
  <c r="J125" i="32"/>
  <c r="J123" i="32"/>
  <c r="J122" i="32"/>
  <c r="J121" i="32"/>
  <c r="J120" i="32"/>
  <c r="J119" i="32"/>
  <c r="J118" i="32"/>
  <c r="J112" i="32"/>
  <c r="J111" i="32"/>
  <c r="J110" i="32"/>
  <c r="J109" i="32"/>
  <c r="J108" i="32"/>
  <c r="J107" i="32"/>
  <c r="J106" i="32"/>
  <c r="J105" i="32"/>
  <c r="J104" i="32"/>
  <c r="J103" i="32"/>
  <c r="J101" i="32"/>
  <c r="J100" i="32"/>
  <c r="J99" i="32"/>
  <c r="J98" i="32"/>
  <c r="J97" i="32"/>
  <c r="J96" i="32"/>
  <c r="J95" i="32"/>
  <c r="J94" i="32"/>
  <c r="J93" i="32"/>
  <c r="J91" i="32"/>
  <c r="J90" i="32"/>
  <c r="J89" i="32"/>
  <c r="J88" i="32"/>
  <c r="J87" i="32"/>
  <c r="J86" i="32"/>
  <c r="J85" i="32"/>
  <c r="J84" i="32"/>
  <c r="J83" i="32"/>
  <c r="J82" i="32"/>
  <c r="J81" i="32"/>
  <c r="J80" i="32"/>
  <c r="J79" i="32"/>
  <c r="J78" i="32"/>
  <c r="K6" i="30"/>
  <c r="Q6" i="30" s="1"/>
  <c r="AG90" i="28" l="1"/>
  <c r="AH90" i="28"/>
  <c r="AE50" i="28"/>
  <c r="J124" i="32" s="1"/>
  <c r="AD43" i="28"/>
  <c r="AD69" i="28" s="1"/>
  <c r="AE39" i="28"/>
  <c r="I5" i="34"/>
  <c r="AE53" i="28" l="1"/>
  <c r="AD90" i="28"/>
  <c r="AE43" i="28"/>
  <c r="J113" i="32"/>
  <c r="J117" i="32" s="1"/>
  <c r="Q25" i="30"/>
  <c r="Q23" i="30"/>
  <c r="Q22" i="30"/>
  <c r="Q21" i="30"/>
  <c r="Q19" i="30"/>
  <c r="Q18" i="30"/>
  <c r="Q17" i="30"/>
  <c r="Q16" i="30"/>
  <c r="Q15" i="30"/>
  <c r="Q14" i="30"/>
  <c r="Q13" i="30"/>
  <c r="Q10" i="30"/>
  <c r="Q9" i="30"/>
  <c r="Q8" i="30"/>
  <c r="Q7" i="30"/>
  <c r="J24" i="30"/>
  <c r="O22" i="30"/>
  <c r="M22" i="30"/>
  <c r="E21" i="30"/>
  <c r="E20" i="30"/>
  <c r="G20" i="30" s="1"/>
  <c r="Q20" i="30" s="1"/>
  <c r="M19" i="30"/>
  <c r="K19" i="30"/>
  <c r="N19" i="30" s="1"/>
  <c r="H19" i="30"/>
  <c r="M18" i="30"/>
  <c r="L18" i="30"/>
  <c r="N18" i="30" s="1"/>
  <c r="H18" i="30"/>
  <c r="E18" i="30"/>
  <c r="O16" i="30"/>
  <c r="N16" i="30"/>
  <c r="M16" i="30"/>
  <c r="H16" i="30"/>
  <c r="E16" i="30"/>
  <c r="O14" i="30"/>
  <c r="N14" i="30"/>
  <c r="M14" i="30"/>
  <c r="H14" i="30"/>
  <c r="O13" i="30"/>
  <c r="N13" i="30"/>
  <c r="M13" i="30"/>
  <c r="H13" i="30"/>
  <c r="E13" i="30"/>
  <c r="I13" i="30" s="1"/>
  <c r="E12" i="30"/>
  <c r="E11" i="30"/>
  <c r="M10" i="30"/>
  <c r="K10" i="30"/>
  <c r="O10" i="30" s="1"/>
  <c r="H10" i="30"/>
  <c r="E10" i="30"/>
  <c r="O9" i="30"/>
  <c r="N9" i="30"/>
  <c r="M9" i="30"/>
  <c r="H9" i="30"/>
  <c r="E9" i="30"/>
  <c r="O8" i="30"/>
  <c r="N8" i="30"/>
  <c r="M8" i="30"/>
  <c r="H8" i="30"/>
  <c r="E8" i="30"/>
  <c r="I8" i="30" s="1"/>
  <c r="O7" i="30"/>
  <c r="N7" i="30"/>
  <c r="M7" i="30"/>
  <c r="H7" i="30"/>
  <c r="E7" i="30"/>
  <c r="I7" i="30" s="1"/>
  <c r="M6" i="30"/>
  <c r="E6" i="30"/>
  <c r="I6" i="30" s="1"/>
  <c r="K5" i="30"/>
  <c r="G5" i="30"/>
  <c r="K4" i="30"/>
  <c r="G4" i="30"/>
  <c r="M4" i="30" s="1"/>
  <c r="E4" i="30"/>
  <c r="AE69" i="28" l="1"/>
  <c r="O18" i="30"/>
  <c r="I10" i="30"/>
  <c r="N5" i="30"/>
  <c r="Q5" i="30"/>
  <c r="N4" i="30"/>
  <c r="Q4" i="30"/>
  <c r="I16" i="30"/>
  <c r="O5" i="30"/>
  <c r="N10" i="30"/>
  <c r="I4" i="30"/>
  <c r="M5" i="30"/>
  <c r="M20" i="30"/>
  <c r="N20" i="30"/>
  <c r="O20" i="30"/>
  <c r="H24" i="30"/>
  <c r="I18" i="30"/>
  <c r="O4" i="30"/>
  <c r="I9" i="30"/>
  <c r="M21" i="30"/>
  <c r="G24" i="30"/>
  <c r="O21" i="30"/>
  <c r="E24" i="30"/>
  <c r="O19" i="30"/>
  <c r="I24" i="30" l="1"/>
  <c r="O24" i="30"/>
  <c r="Q24" i="30"/>
  <c r="M24" i="30"/>
  <c r="E13" i="32" l="1"/>
  <c r="E10" i="32"/>
  <c r="J88" i="28"/>
  <c r="U92" i="28"/>
  <c r="Y88" i="28"/>
  <c r="X88" i="28"/>
  <c r="V88" i="28"/>
  <c r="Y78" i="28"/>
  <c r="X78" i="28"/>
  <c r="Y76" i="28"/>
  <c r="X76" i="28"/>
  <c r="Y75" i="28"/>
  <c r="X75" i="28"/>
  <c r="Y74" i="28"/>
  <c r="X74" i="28"/>
  <c r="Y72" i="28"/>
  <c r="X72" i="28"/>
  <c r="Y71" i="28"/>
  <c r="X71" i="28"/>
  <c r="Y67" i="28"/>
  <c r="X67" i="28"/>
  <c r="Y66" i="28"/>
  <c r="X66" i="28"/>
  <c r="Y65" i="28"/>
  <c r="X65" i="28"/>
  <c r="Y64" i="28"/>
  <c r="X64" i="28"/>
  <c r="Y63" i="28"/>
  <c r="X63" i="28"/>
  <c r="U78" i="28"/>
  <c r="V78" i="28" s="1"/>
  <c r="U77" i="28"/>
  <c r="V77" i="28" s="1"/>
  <c r="U76" i="28"/>
  <c r="V76" i="28" s="1"/>
  <c r="U75" i="28"/>
  <c r="U74" i="28"/>
  <c r="V74" i="28" s="1"/>
  <c r="U73" i="28"/>
  <c r="V73" i="28" s="1"/>
  <c r="U72" i="28"/>
  <c r="V72" i="28" s="1"/>
  <c r="U71" i="28"/>
  <c r="U66" i="28"/>
  <c r="V66" i="28" s="1"/>
  <c r="U65" i="28"/>
  <c r="V65" i="28" s="1"/>
  <c r="U64" i="28"/>
  <c r="V64" i="28" s="1"/>
  <c r="U63" i="28"/>
  <c r="U67" i="28"/>
  <c r="Y61" i="28"/>
  <c r="J71" i="32" s="1"/>
  <c r="X61" i="28"/>
  <c r="Y60" i="28"/>
  <c r="J70" i="32" s="1"/>
  <c r="X60" i="28"/>
  <c r="Y59" i="28"/>
  <c r="J69" i="32" s="1"/>
  <c r="X59" i="28"/>
  <c r="Y58" i="28"/>
  <c r="J68" i="32" s="1"/>
  <c r="X58" i="28"/>
  <c r="Y57" i="28"/>
  <c r="J67" i="32" s="1"/>
  <c r="X57" i="28"/>
  <c r="Y56" i="28"/>
  <c r="J66" i="32" s="1"/>
  <c r="X56" i="28"/>
  <c r="Y55" i="28"/>
  <c r="J65" i="32" s="1"/>
  <c r="X55" i="28"/>
  <c r="U61" i="28"/>
  <c r="V61" i="28" s="1"/>
  <c r="U60" i="28"/>
  <c r="V60" i="28" s="1"/>
  <c r="U59" i="28"/>
  <c r="V59" i="28" s="1"/>
  <c r="U58" i="28"/>
  <c r="V58" i="28" s="1"/>
  <c r="U57" i="28"/>
  <c r="V57" i="28" s="1"/>
  <c r="U56" i="28"/>
  <c r="V56" i="28" s="1"/>
  <c r="V55" i="28"/>
  <c r="U55" i="28"/>
  <c r="Y54" i="28"/>
  <c r="X54" i="28"/>
  <c r="U54" i="28"/>
  <c r="V54" i="28" s="1"/>
  <c r="Y52" i="28"/>
  <c r="J62" i="32" s="1"/>
  <c r="X52" i="28"/>
  <c r="Y51" i="28"/>
  <c r="J61" i="32" s="1"/>
  <c r="X51" i="28"/>
  <c r="Y50" i="28"/>
  <c r="J60" i="32" s="1"/>
  <c r="X50" i="28"/>
  <c r="Y49" i="28"/>
  <c r="J59" i="32" s="1"/>
  <c r="X49" i="28"/>
  <c r="Y48" i="28"/>
  <c r="J58" i="32" s="1"/>
  <c r="X48" i="28"/>
  <c r="Y47" i="28"/>
  <c r="J57" i="32" s="1"/>
  <c r="X47" i="28"/>
  <c r="Y46" i="28"/>
  <c r="J56" i="32" s="1"/>
  <c r="X46" i="28"/>
  <c r="Y45" i="28"/>
  <c r="J55" i="32" s="1"/>
  <c r="X45" i="28"/>
  <c r="U52" i="28"/>
  <c r="V52" i="28" s="1"/>
  <c r="U51" i="28"/>
  <c r="V51" i="28" s="1"/>
  <c r="U50" i="28"/>
  <c r="V50" i="28" s="1"/>
  <c r="U49" i="28"/>
  <c r="V49" i="28" s="1"/>
  <c r="U48" i="28"/>
  <c r="V48" i="28" s="1"/>
  <c r="U47" i="28"/>
  <c r="V47" i="28" s="1"/>
  <c r="U46" i="28"/>
  <c r="V46" i="28" s="1"/>
  <c r="U45" i="28"/>
  <c r="V45" i="28" s="1"/>
  <c r="Y44" i="28"/>
  <c r="J54" i="32" s="1"/>
  <c r="X44" i="28"/>
  <c r="U44" i="28"/>
  <c r="V44" i="28" s="1"/>
  <c r="Y38" i="28"/>
  <c r="J52" i="32" s="1"/>
  <c r="X38" i="28"/>
  <c r="Y37" i="28"/>
  <c r="J51" i="32" s="1"/>
  <c r="X37" i="28"/>
  <c r="Y36" i="28"/>
  <c r="J50" i="32" s="1"/>
  <c r="X36" i="28"/>
  <c r="Y35" i="28"/>
  <c r="J49" i="32" s="1"/>
  <c r="X35" i="28"/>
  <c r="Y33" i="28"/>
  <c r="J47" i="32" s="1"/>
  <c r="X33" i="28"/>
  <c r="Y32" i="28"/>
  <c r="J46" i="32" s="1"/>
  <c r="X32" i="28"/>
  <c r="Y31" i="28"/>
  <c r="J45" i="32" s="1"/>
  <c r="X31" i="28"/>
  <c r="Y30" i="28"/>
  <c r="J44" i="32" s="1"/>
  <c r="X30" i="28"/>
  <c r="U38" i="28"/>
  <c r="V38" i="28" s="1"/>
  <c r="U37" i="28"/>
  <c r="V37" i="28" s="1"/>
  <c r="U36" i="28"/>
  <c r="V36" i="28" s="1"/>
  <c r="U35" i="28"/>
  <c r="V35" i="28" s="1"/>
  <c r="U34" i="28"/>
  <c r="V34" i="28" s="1"/>
  <c r="U33" i="28"/>
  <c r="V33" i="28" s="1"/>
  <c r="U32" i="28"/>
  <c r="V32" i="28" s="1"/>
  <c r="U31" i="28"/>
  <c r="V31" i="28" s="1"/>
  <c r="U30" i="28"/>
  <c r="V30" i="28" s="1"/>
  <c r="Y29" i="28"/>
  <c r="J43" i="32" s="1"/>
  <c r="X29" i="28"/>
  <c r="U29" i="28"/>
  <c r="V29" i="28" s="1"/>
  <c r="Y27" i="28"/>
  <c r="J41" i="32" s="1"/>
  <c r="X27" i="28"/>
  <c r="Y25" i="28"/>
  <c r="J39" i="32" s="1"/>
  <c r="X25" i="28"/>
  <c r="Y24" i="28"/>
  <c r="J38" i="32" s="1"/>
  <c r="X24" i="28"/>
  <c r="Y23" i="28"/>
  <c r="J37" i="32" s="1"/>
  <c r="X23" i="28"/>
  <c r="Y22" i="28"/>
  <c r="J36" i="32" s="1"/>
  <c r="X22" i="28"/>
  <c r="Y21" i="28"/>
  <c r="X21" i="28"/>
  <c r="Y20" i="28"/>
  <c r="J34" i="32" s="1"/>
  <c r="X20" i="28"/>
  <c r="U27" i="28"/>
  <c r="U26" i="28"/>
  <c r="U25" i="28"/>
  <c r="U24" i="28"/>
  <c r="U23" i="28"/>
  <c r="U22" i="28"/>
  <c r="V21" i="28"/>
  <c r="U21" i="28"/>
  <c r="U20" i="28"/>
  <c r="Y19" i="28"/>
  <c r="J33" i="32" s="1"/>
  <c r="X19" i="28"/>
  <c r="U19" i="28"/>
  <c r="Z18" i="28"/>
  <c r="Y17" i="28"/>
  <c r="J31" i="32" s="1"/>
  <c r="X17" i="28"/>
  <c r="Y16" i="28"/>
  <c r="J30" i="32" s="1"/>
  <c r="X16" i="28"/>
  <c r="Y15" i="28"/>
  <c r="J29" i="32" s="1"/>
  <c r="X15" i="28"/>
  <c r="Y14" i="28"/>
  <c r="J28" i="32" s="1"/>
  <c r="X14" i="28"/>
  <c r="Y13" i="28"/>
  <c r="J27" i="32" s="1"/>
  <c r="X13" i="28"/>
  <c r="Y12" i="28"/>
  <c r="J26" i="32" s="1"/>
  <c r="X12" i="28"/>
  <c r="Y11" i="28"/>
  <c r="J25" i="32" s="1"/>
  <c r="X11" i="28"/>
  <c r="Y10" i="28"/>
  <c r="J24" i="32" s="1"/>
  <c r="X10" i="28"/>
  <c r="Y9" i="28"/>
  <c r="J23" i="32" s="1"/>
  <c r="X9" i="28"/>
  <c r="Y8" i="28"/>
  <c r="J22" i="32" s="1"/>
  <c r="X8" i="28"/>
  <c r="Y7" i="28"/>
  <c r="J21" i="32" s="1"/>
  <c r="X7" i="28"/>
  <c r="Y6" i="28"/>
  <c r="J20" i="32" s="1"/>
  <c r="X6" i="28"/>
  <c r="Y5" i="28"/>
  <c r="J19" i="32" s="1"/>
  <c r="X5" i="28"/>
  <c r="U17" i="28"/>
  <c r="U16" i="28"/>
  <c r="V16" i="28" s="1"/>
  <c r="U15" i="28"/>
  <c r="U14" i="28"/>
  <c r="V14" i="28" s="1"/>
  <c r="U13" i="28"/>
  <c r="U12" i="28"/>
  <c r="U11" i="28"/>
  <c r="V11" i="28" s="1"/>
  <c r="U10" i="28"/>
  <c r="U9" i="28"/>
  <c r="U8" i="28"/>
  <c r="V8" i="28" s="1"/>
  <c r="U7" i="28"/>
  <c r="V7" i="28" s="1"/>
  <c r="U6" i="28"/>
  <c r="U5" i="28"/>
  <c r="U4" i="28"/>
  <c r="V4" i="28" s="1"/>
  <c r="Y4" i="28"/>
  <c r="J18" i="32" s="1"/>
  <c r="X4" i="28"/>
  <c r="X73" i="28"/>
  <c r="X77" i="28"/>
  <c r="V15" i="28" l="1"/>
  <c r="V26" i="28"/>
  <c r="V6" i="28"/>
  <c r="V25" i="28"/>
  <c r="V5" i="28"/>
  <c r="V13" i="28"/>
  <c r="V19" i="28"/>
  <c r="V24" i="28"/>
  <c r="V27" i="28"/>
  <c r="V12" i="28"/>
  <c r="V23" i="28"/>
  <c r="V20" i="28"/>
  <c r="V22" i="28"/>
  <c r="V10" i="28"/>
  <c r="V9" i="28"/>
  <c r="V17" i="28"/>
  <c r="Y62" i="28"/>
  <c r="Y73" i="28"/>
  <c r="Y77" i="28"/>
  <c r="X62" i="28"/>
  <c r="X18" i="28"/>
  <c r="X79" i="28"/>
  <c r="X53" i="28"/>
  <c r="J35" i="32"/>
  <c r="V63" i="28"/>
  <c r="Y18" i="28"/>
  <c r="Y53" i="28"/>
  <c r="J64" i="32"/>
  <c r="V43" i="28"/>
  <c r="Y79" i="28" l="1"/>
  <c r="N6" i="30" l="1"/>
  <c r="K24" i="30"/>
  <c r="N24" i="30" s="1"/>
  <c r="O6" i="30"/>
  <c r="X34" i="28" l="1"/>
  <c r="X43" i="28" s="1"/>
  <c r="X26" i="28"/>
  <c r="X28" i="28" s="1"/>
  <c r="Y34" i="28" l="1"/>
  <c r="Y26" i="28"/>
  <c r="X69" i="28"/>
  <c r="X90" i="28" s="1"/>
  <c r="Y92" i="28" l="1"/>
  <c r="J48" i="32"/>
  <c r="Y43" i="28"/>
  <c r="J40" i="32"/>
  <c r="Y28" i="28"/>
  <c r="Y69" i="28" l="1"/>
  <c r="AX69" i="28" s="1"/>
  <c r="Y90" i="28" l="1"/>
  <c r="X92" i="28" l="1"/>
  <c r="H1" i="28" l="1"/>
  <c r="BD73" i="28"/>
  <c r="BD74" i="28" s="1"/>
  <c r="R17" i="28" l="1"/>
  <c r="R15" i="28"/>
  <c r="R10" i="28"/>
  <c r="E10" i="2" l="1"/>
  <c r="E9" i="2"/>
  <c r="R11" i="30" l="1"/>
  <c r="E13" i="2" l="1"/>
  <c r="I25" i="30" l="1"/>
  <c r="F1" i="28" l="1"/>
  <c r="BD75" i="28" l="1"/>
  <c r="B1" i="34"/>
  <c r="AE72" i="28"/>
  <c r="AE79" i="28" s="1"/>
  <c r="AE90" i="28" s="1"/>
  <c r="AE92" i="28" s="1"/>
  <c r="I59" i="2"/>
  <c r="I120" i="2"/>
  <c r="I89" i="2"/>
  <c r="I87" i="2"/>
  <c r="I84" i="2"/>
  <c r="I61" i="2"/>
  <c r="I60" i="2"/>
  <c r="I51" i="2"/>
  <c r="I50" i="2"/>
  <c r="I49" i="2"/>
  <c r="I45" i="2"/>
  <c r="I43" i="2"/>
  <c r="I30" i="2"/>
  <c r="I28" i="2"/>
  <c r="I25" i="2"/>
  <c r="I22" i="2"/>
  <c r="I21" i="2"/>
  <c r="I18" i="2"/>
  <c r="P61" i="28"/>
  <c r="P60" i="28"/>
  <c r="P59" i="28"/>
  <c r="P58" i="28"/>
  <c r="P56" i="28"/>
  <c r="P55" i="28"/>
  <c r="G12" i="34" l="1"/>
  <c r="G10" i="34"/>
  <c r="G8" i="34"/>
  <c r="G6" i="34"/>
  <c r="G7" i="34"/>
  <c r="G5" i="34"/>
  <c r="G11" i="34"/>
  <c r="I126" i="2"/>
  <c r="I124" i="2"/>
  <c r="I128" i="2"/>
  <c r="I125" i="2"/>
  <c r="I129" i="2"/>
  <c r="I130" i="2"/>
  <c r="I127" i="2"/>
  <c r="V75" i="28"/>
  <c r="V71" i="28"/>
  <c r="V67" i="28"/>
  <c r="P77" i="28"/>
  <c r="P76" i="28"/>
  <c r="P75" i="28"/>
  <c r="P74" i="28"/>
  <c r="P73" i="28"/>
  <c r="P72" i="28"/>
  <c r="P71" i="28"/>
  <c r="P63" i="28"/>
  <c r="J55" i="28"/>
  <c r="P8" i="28"/>
  <c r="P7" i="28"/>
  <c r="P67" i="28"/>
  <c r="P54" i="28"/>
  <c r="P52" i="28"/>
  <c r="P50" i="28"/>
  <c r="P49" i="28"/>
  <c r="P48" i="28"/>
  <c r="P47" i="28"/>
  <c r="P46" i="28"/>
  <c r="P45" i="28"/>
  <c r="P38" i="28"/>
  <c r="P37" i="28"/>
  <c r="P36" i="28"/>
  <c r="P35" i="28"/>
  <c r="P34" i="28"/>
  <c r="P33" i="28"/>
  <c r="P32" i="28"/>
  <c r="P31" i="28"/>
  <c r="P30" i="28"/>
  <c r="P29" i="28"/>
  <c r="P27" i="28"/>
  <c r="P26" i="28"/>
  <c r="P25" i="28"/>
  <c r="P24" i="28"/>
  <c r="P23" i="28"/>
  <c r="P22" i="28"/>
  <c r="P21" i="28"/>
  <c r="P20" i="28"/>
  <c r="P19" i="28"/>
  <c r="P17" i="28"/>
  <c r="P15" i="28"/>
  <c r="P13" i="28"/>
  <c r="P12" i="28"/>
  <c r="P10" i="28"/>
  <c r="P9" i="28"/>
  <c r="P6" i="28"/>
  <c r="P5" i="28"/>
  <c r="P4" i="28"/>
  <c r="J78" i="28"/>
  <c r="J77" i="28"/>
  <c r="J76" i="28"/>
  <c r="J75" i="28"/>
  <c r="J72" i="28"/>
  <c r="J71" i="28"/>
  <c r="J67" i="28"/>
  <c r="J63" i="28"/>
  <c r="J61" i="28"/>
  <c r="J60" i="28"/>
  <c r="J59" i="28"/>
  <c r="J58" i="28"/>
  <c r="J57" i="28"/>
  <c r="J56" i="28"/>
  <c r="J54" i="28"/>
  <c r="J52" i="28"/>
  <c r="J50" i="28"/>
  <c r="J49" i="28"/>
  <c r="J48" i="28"/>
  <c r="J47" i="28"/>
  <c r="J46" i="28"/>
  <c r="J44" i="28"/>
  <c r="J38" i="28"/>
  <c r="J37" i="28"/>
  <c r="J36" i="28"/>
  <c r="J35" i="28"/>
  <c r="J34" i="28"/>
  <c r="J33" i="28"/>
  <c r="J32" i="28"/>
  <c r="J31" i="28"/>
  <c r="J30" i="28"/>
  <c r="J29" i="28"/>
  <c r="J27" i="28"/>
  <c r="J26" i="28"/>
  <c r="J25" i="28"/>
  <c r="J24" i="28"/>
  <c r="J23" i="28"/>
  <c r="J22" i="28"/>
  <c r="J21" i="28"/>
  <c r="J20" i="28"/>
  <c r="J19" i="28"/>
  <c r="J17" i="28"/>
  <c r="J15" i="28"/>
  <c r="J13" i="28"/>
  <c r="J12" i="28"/>
  <c r="J10" i="28"/>
  <c r="J9" i="28"/>
  <c r="J6" i="28"/>
  <c r="J5" i="28"/>
  <c r="J4" i="28"/>
  <c r="AP95" i="28"/>
  <c r="U88" i="28"/>
  <c r="R88" i="28"/>
  <c r="S88" i="28" s="1"/>
  <c r="O88" i="28"/>
  <c r="L88" i="28"/>
  <c r="M88" i="28" s="1"/>
  <c r="I88" i="28"/>
  <c r="AQ87" i="28"/>
  <c r="Q87" i="28" s="1"/>
  <c r="AP87" i="28"/>
  <c r="R87" i="28"/>
  <c r="M87" i="28"/>
  <c r="AT86" i="28"/>
  <c r="AQ86" i="28" s="1"/>
  <c r="R86" i="28"/>
  <c r="S86" i="28" s="1"/>
  <c r="M86" i="28"/>
  <c r="AQ85" i="28"/>
  <c r="W85" i="28" s="1"/>
  <c r="AP85" i="28"/>
  <c r="R85" i="28"/>
  <c r="S85" i="28" s="1"/>
  <c r="M85" i="28"/>
  <c r="AT84" i="28"/>
  <c r="AQ84" i="28" s="1"/>
  <c r="W84" i="28" s="1"/>
  <c r="R84" i="28"/>
  <c r="S84" i="28" s="1"/>
  <c r="M84" i="28"/>
  <c r="AT83" i="28"/>
  <c r="AP83" i="28" s="1"/>
  <c r="R83" i="28"/>
  <c r="S83" i="28" s="1"/>
  <c r="M83" i="28"/>
  <c r="AT82" i="28"/>
  <c r="AP82" i="28" s="1"/>
  <c r="R82" i="28"/>
  <c r="S82" i="28" s="1"/>
  <c r="M82" i="28"/>
  <c r="AQ78" i="28"/>
  <c r="W78" i="28" s="1"/>
  <c r="R78" i="28"/>
  <c r="S78" i="28" s="1"/>
  <c r="O78" i="28"/>
  <c r="M78" i="28"/>
  <c r="AP77" i="28"/>
  <c r="S77" i="28"/>
  <c r="N77" i="28"/>
  <c r="M77" i="28"/>
  <c r="AP76" i="28"/>
  <c r="L76" i="28"/>
  <c r="M76" i="28" s="1"/>
  <c r="AQ75" i="28"/>
  <c r="W75" i="28" s="1"/>
  <c r="AP75" i="28"/>
  <c r="T75" i="28"/>
  <c r="L75" i="28"/>
  <c r="M75" i="28" s="1"/>
  <c r="AP74" i="28"/>
  <c r="R74" i="28"/>
  <c r="S74" i="28" s="1"/>
  <c r="L74" i="28"/>
  <c r="M74" i="28" s="1"/>
  <c r="I74" i="28"/>
  <c r="AP73" i="28"/>
  <c r="S73" i="28"/>
  <c r="L73" i="28"/>
  <c r="M73" i="28" s="1"/>
  <c r="I73" i="28"/>
  <c r="AQ72" i="28"/>
  <c r="W72" i="28" s="1"/>
  <c r="AP72" i="28"/>
  <c r="S72" i="28"/>
  <c r="M72" i="28"/>
  <c r="AT71" i="28"/>
  <c r="AQ71" i="28" s="1"/>
  <c r="R71" i="28"/>
  <c r="M71" i="28"/>
  <c r="AQ67" i="28"/>
  <c r="W67" i="28" s="1"/>
  <c r="R67" i="28"/>
  <c r="S67" i="28" s="1"/>
  <c r="L67" i="28"/>
  <c r="M67" i="28" s="1"/>
  <c r="AP66" i="28"/>
  <c r="T66" i="28"/>
  <c r="L66" i="28"/>
  <c r="N66" i="28" s="1"/>
  <c r="S65" i="28"/>
  <c r="M65" i="28"/>
  <c r="AP64" i="28"/>
  <c r="T64" i="28"/>
  <c r="S64" i="28"/>
  <c r="N64" i="28"/>
  <c r="M64" i="28"/>
  <c r="AT63" i="28"/>
  <c r="AQ63" i="28" s="1"/>
  <c r="W63" i="28" s="1"/>
  <c r="AP63" i="28"/>
  <c r="R63" i="28"/>
  <c r="S63" i="28" s="1"/>
  <c r="M63" i="28"/>
  <c r="AT62" i="28"/>
  <c r="U62" i="28"/>
  <c r="I62" i="28"/>
  <c r="AQ61" i="28"/>
  <c r="W61" i="28" s="1"/>
  <c r="AP61" i="28"/>
  <c r="S61" i="28"/>
  <c r="M61" i="28"/>
  <c r="AQ60" i="28"/>
  <c r="W60" i="28" s="1"/>
  <c r="AP60" i="28"/>
  <c r="S60" i="28"/>
  <c r="M60" i="28"/>
  <c r="AQ59" i="28"/>
  <c r="W59" i="28" s="1"/>
  <c r="AP59" i="28"/>
  <c r="S59" i="28"/>
  <c r="M59" i="28"/>
  <c r="AQ58" i="28"/>
  <c r="W58" i="28" s="1"/>
  <c r="AP58" i="28"/>
  <c r="S58" i="28"/>
  <c r="M58" i="28"/>
  <c r="AQ57" i="28"/>
  <c r="W57" i="28" s="1"/>
  <c r="AP57" i="28"/>
  <c r="R57" i="28"/>
  <c r="S57" i="28" s="1"/>
  <c r="O57" i="28"/>
  <c r="P57" i="28" s="1"/>
  <c r="M57" i="28"/>
  <c r="AQ56" i="28"/>
  <c r="W56" i="28" s="1"/>
  <c r="AP56" i="28"/>
  <c r="S56" i="28"/>
  <c r="M56" i="28"/>
  <c r="AQ55" i="28"/>
  <c r="W55" i="28" s="1"/>
  <c r="AP55" i="28"/>
  <c r="S55" i="28"/>
  <c r="L55" i="28"/>
  <c r="L62" i="28" s="1"/>
  <c r="AQ54" i="28"/>
  <c r="W54" i="28" s="1"/>
  <c r="AP54" i="28"/>
  <c r="R54" i="28"/>
  <c r="N54" i="28"/>
  <c r="M54" i="28"/>
  <c r="AT53" i="28"/>
  <c r="U53" i="28"/>
  <c r="AQ52" i="28"/>
  <c r="W52" i="28" s="1"/>
  <c r="AP52" i="28"/>
  <c r="R52" i="28"/>
  <c r="S52" i="28" s="1"/>
  <c r="M52" i="28"/>
  <c r="AP51" i="28"/>
  <c r="AQ50" i="28"/>
  <c r="AB50" i="28" s="1"/>
  <c r="AP50" i="28"/>
  <c r="M50" i="28"/>
  <c r="AQ49" i="28"/>
  <c r="W49" i="28" s="1"/>
  <c r="AP49" i="28"/>
  <c r="L49" i="28"/>
  <c r="M49" i="28" s="1"/>
  <c r="AQ48" i="28"/>
  <c r="AB48" i="28" s="1"/>
  <c r="AP48" i="28"/>
  <c r="R48" i="28"/>
  <c r="S48" i="28" s="1"/>
  <c r="M48" i="28"/>
  <c r="AQ47" i="28"/>
  <c r="W47" i="28" s="1"/>
  <c r="AP47" i="28"/>
  <c r="R47" i="28"/>
  <c r="S47" i="28" s="1"/>
  <c r="M47" i="28"/>
  <c r="AQ46" i="28"/>
  <c r="AB46" i="28" s="1"/>
  <c r="AP46" i="28"/>
  <c r="R46" i="28"/>
  <c r="T46" i="28" s="1"/>
  <c r="M46" i="28"/>
  <c r="AQ45" i="28"/>
  <c r="W45" i="28" s="1"/>
  <c r="AP45" i="28"/>
  <c r="S45" i="28"/>
  <c r="L45" i="28"/>
  <c r="L53" i="28" s="1"/>
  <c r="I45" i="28"/>
  <c r="K45" i="28" s="1"/>
  <c r="AQ44" i="28"/>
  <c r="AP44" i="28"/>
  <c r="R44" i="28"/>
  <c r="O44" i="28"/>
  <c r="O53" i="28" s="1"/>
  <c r="M44" i="28"/>
  <c r="AT43" i="28"/>
  <c r="U43" i="28"/>
  <c r="O43" i="28"/>
  <c r="L43" i="28"/>
  <c r="M43" i="28" s="1"/>
  <c r="I43" i="28"/>
  <c r="AQ38" i="28"/>
  <c r="AB38" i="28" s="1"/>
  <c r="AP38" i="28"/>
  <c r="S38" i="28"/>
  <c r="AP37" i="28"/>
  <c r="AQ36" i="28"/>
  <c r="AB36" i="28" s="1"/>
  <c r="AP36" i="28"/>
  <c r="AP35" i="28"/>
  <c r="AQ34" i="28"/>
  <c r="W34" i="28" s="1"/>
  <c r="AP34" i="28"/>
  <c r="R34" i="28"/>
  <c r="S34" i="28" s="1"/>
  <c r="AQ33" i="28"/>
  <c r="AB33" i="28" s="1"/>
  <c r="AP33" i="28"/>
  <c r="R33" i="28"/>
  <c r="AQ32" i="28"/>
  <c r="AB32" i="28" s="1"/>
  <c r="AP32" i="28"/>
  <c r="R32" i="28"/>
  <c r="S32" i="28" s="1"/>
  <c r="AP31" i="28"/>
  <c r="AQ30" i="28"/>
  <c r="AB30" i="28" s="1"/>
  <c r="AP30" i="28"/>
  <c r="R30" i="28"/>
  <c r="T30" i="28" s="1"/>
  <c r="AR29" i="28"/>
  <c r="AP29" i="28"/>
  <c r="AT28" i="28"/>
  <c r="U28" i="28"/>
  <c r="O28" i="28"/>
  <c r="L28" i="28"/>
  <c r="M28" i="28" s="1"/>
  <c r="I28" i="28"/>
  <c r="AQ27" i="28"/>
  <c r="AP27" i="28"/>
  <c r="T27" i="28"/>
  <c r="S27" i="28"/>
  <c r="M27" i="28"/>
  <c r="AQ26" i="28"/>
  <c r="AP26" i="28"/>
  <c r="R26" i="28"/>
  <c r="S26" i="28" s="1"/>
  <c r="N26" i="28"/>
  <c r="M26" i="28"/>
  <c r="AQ25" i="28"/>
  <c r="AB25" i="28" s="1"/>
  <c r="AP25" i="28"/>
  <c r="R25" i="28"/>
  <c r="T25" i="28" s="1"/>
  <c r="M25" i="28"/>
  <c r="AQ24" i="28"/>
  <c r="AB24" i="28" s="1"/>
  <c r="AP24" i="28"/>
  <c r="T24" i="28"/>
  <c r="S24" i="28"/>
  <c r="M24" i="28"/>
  <c r="AQ23" i="28"/>
  <c r="AP23" i="28"/>
  <c r="R23" i="28"/>
  <c r="S23" i="28" s="1"/>
  <c r="M23" i="28"/>
  <c r="AQ22" i="28"/>
  <c r="AP22" i="28"/>
  <c r="R22" i="28"/>
  <c r="S22" i="28" s="1"/>
  <c r="M22" i="28"/>
  <c r="AQ21" i="28"/>
  <c r="AP21" i="28"/>
  <c r="R21" i="28"/>
  <c r="S21" i="28" s="1"/>
  <c r="M21" i="28"/>
  <c r="AQ20" i="28"/>
  <c r="Q20" i="28" s="1"/>
  <c r="AP20" i="28"/>
  <c r="T20" i="28"/>
  <c r="S20" i="28"/>
  <c r="M20" i="28"/>
  <c r="AQ19" i="28"/>
  <c r="AP19" i="28"/>
  <c r="R19" i="28"/>
  <c r="T19" i="28" s="1"/>
  <c r="M19" i="28"/>
  <c r="AT18" i="28"/>
  <c r="U18" i="28"/>
  <c r="O18" i="28"/>
  <c r="I18" i="28"/>
  <c r="AQ17" i="28"/>
  <c r="AP17" i="28"/>
  <c r="AN17" i="28"/>
  <c r="AM17" i="28"/>
  <c r="S17" i="28"/>
  <c r="M17" i="28"/>
  <c r="AP16" i="28"/>
  <c r="AQ15" i="28"/>
  <c r="AP15" i="28"/>
  <c r="AN15" i="28"/>
  <c r="AM15" i="28"/>
  <c r="T15" i="28"/>
  <c r="L15" i="28"/>
  <c r="L18" i="28" s="1"/>
  <c r="AP14" i="28"/>
  <c r="AQ13" i="28"/>
  <c r="AP13" i="28"/>
  <c r="R13" i="28"/>
  <c r="S13" i="28" s="1"/>
  <c r="N13" i="28"/>
  <c r="M13" i="28"/>
  <c r="AQ12" i="28"/>
  <c r="AP12" i="28"/>
  <c r="R12" i="28"/>
  <c r="S12" i="28" s="1"/>
  <c r="N12" i="28"/>
  <c r="M12" i="28"/>
  <c r="AP11" i="28"/>
  <c r="AQ10" i="28"/>
  <c r="AP10" i="28"/>
  <c r="AN10" i="28"/>
  <c r="AM10" i="28"/>
  <c r="S10" i="28"/>
  <c r="M10" i="28"/>
  <c r="AQ9" i="28"/>
  <c r="AB9" i="28" s="1"/>
  <c r="AP9" i="28"/>
  <c r="R9" i="28"/>
  <c r="N9" i="28"/>
  <c r="M9" i="28"/>
  <c r="AP8" i="28"/>
  <c r="AP7" i="28"/>
  <c r="AQ6" i="28"/>
  <c r="AP6" i="28"/>
  <c r="AM6" i="28"/>
  <c r="R6" i="28"/>
  <c r="S6" i="28" s="1"/>
  <c r="N6" i="28"/>
  <c r="M6" i="28"/>
  <c r="AR5" i="28"/>
  <c r="AQ5" i="28"/>
  <c r="AB5" i="28" s="1"/>
  <c r="AP5" i="28"/>
  <c r="AM5" i="28"/>
  <c r="R5" i="28"/>
  <c r="S5" i="28" s="1"/>
  <c r="N5" i="28"/>
  <c r="M5" i="28"/>
  <c r="AQ4" i="28"/>
  <c r="K4" i="28" s="1"/>
  <c r="AP4" i="28"/>
  <c r="N4" i="28"/>
  <c r="M4" i="28"/>
  <c r="AL4" i="28" s="1"/>
  <c r="Q12" i="28" l="1"/>
  <c r="AB12" i="28"/>
  <c r="W27" i="28"/>
  <c r="AB27" i="28"/>
  <c r="W6" i="28"/>
  <c r="AB6" i="28"/>
  <c r="W21" i="28"/>
  <c r="AB21" i="28"/>
  <c r="W23" i="28"/>
  <c r="AB23" i="28"/>
  <c r="W10" i="28"/>
  <c r="AB10" i="28"/>
  <c r="G9" i="34"/>
  <c r="W15" i="28"/>
  <c r="AB15" i="28"/>
  <c r="Q13" i="28"/>
  <c r="AB13" i="28"/>
  <c r="W20" i="28"/>
  <c r="AB20" i="28"/>
  <c r="W22" i="28"/>
  <c r="AB22" i="28"/>
  <c r="K17" i="28"/>
  <c r="AB17" i="28"/>
  <c r="W19" i="28"/>
  <c r="AB19" i="28"/>
  <c r="AR26" i="28"/>
  <c r="AR27" i="28" s="1"/>
  <c r="AB26" i="28"/>
  <c r="G13" i="34"/>
  <c r="K85" i="28"/>
  <c r="V79" i="28"/>
  <c r="V28" i="28"/>
  <c r="Q25" i="28"/>
  <c r="J136" i="32"/>
  <c r="I71" i="2"/>
  <c r="I48" i="2"/>
  <c r="I68" i="2"/>
  <c r="I80" i="2"/>
  <c r="I85" i="2"/>
  <c r="I92" i="2"/>
  <c r="I96" i="2"/>
  <c r="I100" i="2"/>
  <c r="I109" i="2"/>
  <c r="I114" i="2"/>
  <c r="I118" i="2"/>
  <c r="I67" i="2"/>
  <c r="I79" i="2"/>
  <c r="I90" i="2"/>
  <c r="I99" i="2"/>
  <c r="I19" i="2"/>
  <c r="I34" i="2"/>
  <c r="I40" i="2"/>
  <c r="I41" i="2"/>
  <c r="I62" i="2"/>
  <c r="R62" i="28"/>
  <c r="I65" i="2"/>
  <c r="I66" i="2"/>
  <c r="I69" i="2"/>
  <c r="I77" i="2"/>
  <c r="I81" i="2"/>
  <c r="I86" i="2"/>
  <c r="I97" i="2"/>
  <c r="I102" i="2"/>
  <c r="I106" i="2"/>
  <c r="I110" i="2"/>
  <c r="I115" i="2"/>
  <c r="I119" i="2"/>
  <c r="I26" i="2"/>
  <c r="I83" i="2"/>
  <c r="I95" i="2"/>
  <c r="I104" i="2"/>
  <c r="I108" i="2"/>
  <c r="I117" i="2"/>
  <c r="T9" i="28"/>
  <c r="H2" i="28"/>
  <c r="I24" i="2"/>
  <c r="I31" i="2"/>
  <c r="I36" i="2"/>
  <c r="I37" i="2"/>
  <c r="I38" i="2"/>
  <c r="I46" i="2"/>
  <c r="I52" i="2"/>
  <c r="I55" i="2"/>
  <c r="I57" i="2"/>
  <c r="I58" i="2"/>
  <c r="Q49" i="28"/>
  <c r="T52" i="28"/>
  <c r="I70" i="2"/>
  <c r="I78" i="2"/>
  <c r="I82" i="2"/>
  <c r="I88" i="2"/>
  <c r="I94" i="2"/>
  <c r="I98" i="2"/>
  <c r="I103" i="2"/>
  <c r="I107" i="2"/>
  <c r="I111" i="2"/>
  <c r="I116" i="2"/>
  <c r="I121" i="2"/>
  <c r="I35" i="2"/>
  <c r="T34" i="28"/>
  <c r="AB49" i="28"/>
  <c r="K54" i="28"/>
  <c r="AB54" i="28"/>
  <c r="Q72" i="28"/>
  <c r="AQ83" i="28"/>
  <c r="W83" i="28" s="1"/>
  <c r="AP43" i="28"/>
  <c r="N63" i="28"/>
  <c r="AP84" i="28"/>
  <c r="Q17" i="28"/>
  <c r="W25" i="28"/>
  <c r="AB75" i="28"/>
  <c r="T87" i="28"/>
  <c r="AL10" i="28"/>
  <c r="AT69" i="28"/>
  <c r="A28" i="28"/>
  <c r="K19" i="28"/>
  <c r="W24" i="28"/>
  <c r="AQ53" i="28"/>
  <c r="Q53" i="28" s="1"/>
  <c r="AB47" i="28"/>
  <c r="Q48" i="28"/>
  <c r="AB55" i="28"/>
  <c r="M66" i="28"/>
  <c r="Q75" i="28"/>
  <c r="K13" i="28"/>
  <c r="Q24" i="28"/>
  <c r="I79" i="28"/>
  <c r="Q78" i="28"/>
  <c r="AP18" i="28"/>
  <c r="AB56" i="28"/>
  <c r="AP86" i="28"/>
  <c r="Q33" i="28"/>
  <c r="Q47" i="28"/>
  <c r="AT79" i="28"/>
  <c r="AP79" i="28" s="1"/>
  <c r="K12" i="28"/>
  <c r="K15" i="28"/>
  <c r="S25" i="28"/>
  <c r="Q32" i="28"/>
  <c r="AP71" i="28"/>
  <c r="Q15" i="28"/>
  <c r="S30" i="28"/>
  <c r="W32" i="28"/>
  <c r="N49" i="28"/>
  <c r="K67" i="28"/>
  <c r="Q27" i="28"/>
  <c r="O62" i="28"/>
  <c r="T62" i="28" s="1"/>
  <c r="W12" i="28"/>
  <c r="K25" i="28"/>
  <c r="K26" i="28"/>
  <c r="S9" i="28"/>
  <c r="W13" i="28"/>
  <c r="S15" i="28"/>
  <c r="K6" i="28"/>
  <c r="W9" i="28"/>
  <c r="N15" i="28"/>
  <c r="AB4" i="28"/>
  <c r="T12" i="28"/>
  <c r="W17" i="28"/>
  <c r="Q19" i="28"/>
  <c r="T32" i="28"/>
  <c r="W33" i="28"/>
  <c r="AB34" i="28"/>
  <c r="M45" i="28"/>
  <c r="T47" i="28"/>
  <c r="T48" i="28"/>
  <c r="AB52" i="28"/>
  <c r="Q54" i="28"/>
  <c r="K55" i="28"/>
  <c r="K56" i="28"/>
  <c r="K57" i="28"/>
  <c r="T63" i="28"/>
  <c r="Q67" i="28"/>
  <c r="R79" i="28"/>
  <c r="S79" i="28" s="1"/>
  <c r="T72" i="28"/>
  <c r="K75" i="28"/>
  <c r="Q84" i="28"/>
  <c r="W87" i="28"/>
  <c r="J18" i="28"/>
  <c r="J28" i="28"/>
  <c r="J45" i="28"/>
  <c r="J53" i="28" s="1"/>
  <c r="P44" i="28"/>
  <c r="P53" i="28" s="1"/>
  <c r="AL13" i="28"/>
  <c r="I27" i="2"/>
  <c r="S19" i="28"/>
  <c r="AQ43" i="28"/>
  <c r="W43" i="28" s="1"/>
  <c r="R43" i="28"/>
  <c r="S43" i="28" s="1"/>
  <c r="AP53" i="28"/>
  <c r="S54" i="28"/>
  <c r="AP62" i="28"/>
  <c r="AB72" i="28"/>
  <c r="K72" i="28"/>
  <c r="T85" i="28"/>
  <c r="AB85" i="28" s="1"/>
  <c r="S87" i="28"/>
  <c r="J73" i="28"/>
  <c r="P78" i="28"/>
  <c r="P79" i="28" s="1"/>
  <c r="W5" i="28"/>
  <c r="K5" i="28"/>
  <c r="AL6" i="28"/>
  <c r="I20" i="2"/>
  <c r="M15" i="28"/>
  <c r="AP28" i="28"/>
  <c r="Q10" i="28"/>
  <c r="T17" i="28"/>
  <c r="Q30" i="28"/>
  <c r="W30" i="28"/>
  <c r="S33" i="28"/>
  <c r="Q34" i="28"/>
  <c r="T44" i="28"/>
  <c r="Q52" i="28"/>
  <c r="W53" i="28"/>
  <c r="T54" i="28"/>
  <c r="T55" i="28"/>
  <c r="AQ79" i="28"/>
  <c r="AF79" i="28" s="1"/>
  <c r="Q85" i="28"/>
  <c r="K87" i="28"/>
  <c r="J43" i="28"/>
  <c r="J62" i="28"/>
  <c r="J74" i="28"/>
  <c r="V18" i="28"/>
  <c r="V62" i="28"/>
  <c r="I123" i="2"/>
  <c r="V53" i="28"/>
  <c r="I113" i="2"/>
  <c r="I105" i="2"/>
  <c r="I93" i="2"/>
  <c r="U69" i="28"/>
  <c r="P28" i="28"/>
  <c r="P43" i="28"/>
  <c r="P62" i="28"/>
  <c r="P18" i="28"/>
  <c r="Q63" i="28"/>
  <c r="K63" i="28"/>
  <c r="AB63" i="28"/>
  <c r="Q86" i="28"/>
  <c r="W86" i="28"/>
  <c r="K86" i="28"/>
  <c r="T86" i="28"/>
  <c r="AL5" i="28"/>
  <c r="M18" i="28"/>
  <c r="A18" i="28"/>
  <c r="L69" i="28"/>
  <c r="N18" i="28"/>
  <c r="S62" i="28"/>
  <c r="M62" i="28"/>
  <c r="A62" i="28"/>
  <c r="N62" i="28"/>
  <c r="AL12" i="28"/>
  <c r="AL17" i="28"/>
  <c r="M53" i="28"/>
  <c r="A53" i="28"/>
  <c r="AQ18" i="28"/>
  <c r="AB18" i="28" s="1"/>
  <c r="Q5" i="28"/>
  <c r="Q6" i="28"/>
  <c r="K9" i="28"/>
  <c r="Q21" i="28"/>
  <c r="Q22" i="28"/>
  <c r="Q23" i="28"/>
  <c r="Q26" i="28"/>
  <c r="N28" i="28"/>
  <c r="AQ28" i="28"/>
  <c r="Q28" i="28" s="1"/>
  <c r="S44" i="28"/>
  <c r="W44" i="28"/>
  <c r="N45" i="28"/>
  <c r="S46" i="28"/>
  <c r="W46" i="28"/>
  <c r="I53" i="28"/>
  <c r="T78" i="28"/>
  <c r="AB78" i="28"/>
  <c r="L79" i="28"/>
  <c r="AT88" i="28"/>
  <c r="AP88" i="28" s="1"/>
  <c r="R53" i="28"/>
  <c r="Q55" i="28"/>
  <c r="AB57" i="28"/>
  <c r="AB58" i="28"/>
  <c r="AB59" i="28"/>
  <c r="AB60" i="28"/>
  <c r="AB61" i="28"/>
  <c r="AQ62" i="28"/>
  <c r="AF62" i="28" s="1"/>
  <c r="N67" i="28"/>
  <c r="T67" i="28"/>
  <c r="AB67" i="28" s="1"/>
  <c r="N75" i="28"/>
  <c r="O79" i="28"/>
  <c r="Q79" i="28" s="1"/>
  <c r="AQ82" i="28"/>
  <c r="T84" i="28"/>
  <c r="AB84" i="28" s="1"/>
  <c r="T5" i="28"/>
  <c r="T6" i="28"/>
  <c r="Q9" i="28"/>
  <c r="T10" i="28"/>
  <c r="T13" i="28"/>
  <c r="R18" i="28"/>
  <c r="K20" i="28"/>
  <c r="T21" i="28"/>
  <c r="T22" i="28"/>
  <c r="T23" i="28"/>
  <c r="T26" i="28"/>
  <c r="K27" i="28"/>
  <c r="R28" i="28"/>
  <c r="K10" i="28"/>
  <c r="K21" i="28"/>
  <c r="K22" i="28"/>
  <c r="K23" i="28"/>
  <c r="K24" i="28"/>
  <c r="W26" i="28"/>
  <c r="T33" i="28"/>
  <c r="Q44" i="28"/>
  <c r="AB45" i="28"/>
  <c r="Q46" i="28"/>
  <c r="N55" i="28"/>
  <c r="K58" i="28"/>
  <c r="K59" i="28"/>
  <c r="K60" i="28"/>
  <c r="K61" i="28"/>
  <c r="S71" i="28"/>
  <c r="N76" i="28"/>
  <c r="U79" i="28"/>
  <c r="K84" i="28"/>
  <c r="AB44" i="28"/>
  <c r="Q45" i="28"/>
  <c r="AR48" i="28"/>
  <c r="M55" i="28"/>
  <c r="N72" i="28"/>
  <c r="K83" i="28" l="1"/>
  <c r="AR63" i="28"/>
  <c r="K79" i="28"/>
  <c r="V69" i="28"/>
  <c r="V90" i="28" s="1"/>
  <c r="W79" i="28"/>
  <c r="J102" i="32"/>
  <c r="I39" i="2"/>
  <c r="I47" i="2"/>
  <c r="I64" i="2"/>
  <c r="J72" i="32"/>
  <c r="I33" i="2"/>
  <c r="J42" i="32"/>
  <c r="I23" i="2"/>
  <c r="I54" i="2"/>
  <c r="I29" i="2"/>
  <c r="J92" i="32"/>
  <c r="I56" i="2"/>
  <c r="J127" i="32"/>
  <c r="I44" i="2"/>
  <c r="T83" i="28"/>
  <c r="AB83" i="28" s="1"/>
  <c r="AB87" i="28"/>
  <c r="Q83" i="28"/>
  <c r="O69" i="28"/>
  <c r="O90" i="28" s="1"/>
  <c r="AB62" i="28"/>
  <c r="J69" i="28"/>
  <c r="AL15" i="28"/>
  <c r="AP69" i="28"/>
  <c r="Q43" i="28"/>
  <c r="AB43" i="28"/>
  <c r="S18" i="28"/>
  <c r="J79" i="28"/>
  <c r="T79" i="28"/>
  <c r="AL9" i="28"/>
  <c r="T43" i="28"/>
  <c r="AB86" i="28"/>
  <c r="P69" i="28"/>
  <c r="S28" i="28"/>
  <c r="T28" i="28"/>
  <c r="K53" i="28"/>
  <c r="AB53" i="28"/>
  <c r="T53" i="28"/>
  <c r="S53" i="28"/>
  <c r="W28" i="28"/>
  <c r="K28" i="28"/>
  <c r="Q18" i="28"/>
  <c r="N53" i="28"/>
  <c r="Q62" i="28"/>
  <c r="I69" i="28"/>
  <c r="N69" i="28" s="1"/>
  <c r="AB28" i="28"/>
  <c r="U90" i="28"/>
  <c r="A63" i="28"/>
  <c r="W62" i="28"/>
  <c r="K62" i="28"/>
  <c r="AQ69" i="28"/>
  <c r="AF69" i="28" s="1"/>
  <c r="W18" i="28"/>
  <c r="K18" i="28"/>
  <c r="R69" i="28"/>
  <c r="T18" i="28"/>
  <c r="T82" i="28"/>
  <c r="Q82" i="28"/>
  <c r="AQ88" i="28"/>
  <c r="AF88" i="28" s="1"/>
  <c r="W82" i="28"/>
  <c r="K82" i="28"/>
  <c r="M79" i="28"/>
  <c r="N79" i="28"/>
  <c r="M69" i="28"/>
  <c r="AV69" i="28" s="1"/>
  <c r="A69" i="28"/>
  <c r="L90" i="28"/>
  <c r="AT90" i="28"/>
  <c r="AP90" i="28" s="1"/>
  <c r="AP93" i="28" s="1"/>
  <c r="J137" i="32" l="1"/>
  <c r="J90" i="28"/>
  <c r="J93" i="28" s="1"/>
  <c r="J53" i="32"/>
  <c r="J32" i="32"/>
  <c r="I53" i="2"/>
  <c r="J63" i="32"/>
  <c r="Q69" i="28"/>
  <c r="AL18" i="28"/>
  <c r="AB79" i="28"/>
  <c r="M90" i="28"/>
  <c r="S69" i="28"/>
  <c r="T69" i="28"/>
  <c r="R90" i="28"/>
  <c r="AQ90" i="28"/>
  <c r="W69" i="28"/>
  <c r="O93" i="28"/>
  <c r="AB82" i="28"/>
  <c r="I90" i="28"/>
  <c r="K69" i="28"/>
  <c r="W88" i="28"/>
  <c r="T88" i="28"/>
  <c r="K88" i="28"/>
  <c r="Q88" i="28"/>
  <c r="AQ93" i="28" l="1"/>
  <c r="AF90" i="28"/>
  <c r="N90" i="28"/>
  <c r="I93" i="28"/>
  <c r="J73" i="32"/>
  <c r="AW69" i="28"/>
  <c r="Q1" i="32" s="1"/>
  <c r="Q90" i="28"/>
  <c r="W90" i="28"/>
  <c r="S90" i="28"/>
  <c r="T90" i="28"/>
  <c r="K90" i="28"/>
  <c r="AB69" i="28" l="1"/>
  <c r="N1" i="2"/>
  <c r="AB88" i="28"/>
  <c r="I54" i="18"/>
  <c r="AB90" i="28" l="1"/>
  <c r="I91" i="2"/>
  <c r="I101" i="2"/>
  <c r="I112" i="2"/>
  <c r="I122" i="2"/>
  <c r="I131" i="2"/>
  <c r="I72" i="2"/>
  <c r="I63" i="2"/>
  <c r="I42" i="2"/>
  <c r="I32" i="2"/>
  <c r="I73" i="2" l="1"/>
  <c r="I132" i="2"/>
  <c r="W56" i="17" l="1"/>
  <c r="V55" i="17"/>
  <c r="W55" i="17" s="1"/>
  <c r="W54" i="17"/>
  <c r="W52" i="17"/>
  <c r="W51" i="17"/>
  <c r="W50" i="17"/>
  <c r="W49" i="17"/>
  <c r="L29" i="17"/>
  <c r="I29" i="17"/>
  <c r="G29" i="17"/>
  <c r="N27" i="17"/>
  <c r="M27" i="17"/>
  <c r="N26" i="17"/>
  <c r="M26" i="17"/>
  <c r="K26" i="17"/>
  <c r="N25" i="17"/>
  <c r="M25" i="17"/>
  <c r="K25" i="17"/>
  <c r="N24" i="17"/>
  <c r="M24" i="17"/>
  <c r="K24" i="17"/>
  <c r="N23" i="17"/>
  <c r="M23" i="17"/>
  <c r="K23" i="17"/>
  <c r="N22" i="17"/>
  <c r="M22" i="17"/>
  <c r="K22" i="17"/>
  <c r="N21" i="17"/>
  <c r="M21" i="17"/>
  <c r="N20" i="17"/>
  <c r="M20" i="17"/>
  <c r="N19" i="17"/>
  <c r="M19" i="17"/>
  <c r="N18" i="17"/>
  <c r="M18" i="17"/>
  <c r="N17" i="17"/>
  <c r="M17" i="17"/>
  <c r="F17" i="17"/>
  <c r="K17" i="17" s="1"/>
  <c r="N16" i="17"/>
  <c r="M16" i="17"/>
  <c r="K16" i="17"/>
  <c r="N15" i="17"/>
  <c r="M15" i="17"/>
  <c r="K15" i="17"/>
  <c r="M13" i="17"/>
  <c r="J13" i="17"/>
  <c r="N13" i="17" s="1"/>
  <c r="M12" i="17"/>
  <c r="J12" i="17"/>
  <c r="N12" i="17" s="1"/>
  <c r="N10" i="17"/>
  <c r="F10" i="17"/>
  <c r="M9" i="17"/>
  <c r="J9" i="17"/>
  <c r="N8" i="17"/>
  <c r="M8" i="17"/>
  <c r="K8" i="17"/>
  <c r="N7" i="17"/>
  <c r="M7" i="17"/>
  <c r="K7" i="17"/>
  <c r="N6" i="17"/>
  <c r="M6" i="17"/>
  <c r="K6" i="17"/>
  <c r="N5" i="17"/>
  <c r="M5" i="17"/>
  <c r="K5" i="17"/>
  <c r="F29" i="17" l="1"/>
  <c r="J29" i="17"/>
  <c r="I32" i="17" s="1"/>
  <c r="M29" i="17"/>
  <c r="K12" i="17"/>
  <c r="K9" i="17"/>
  <c r="K13" i="17"/>
  <c r="S4" i="17"/>
  <c r="K10" i="17"/>
  <c r="N9" i="17"/>
  <c r="N29" i="17" s="1"/>
  <c r="K29" i="17" l="1"/>
  <c r="E1" i="12"/>
  <c r="F7" i="12" s="1"/>
  <c r="F5" i="12" l="1"/>
  <c r="I5" i="12"/>
  <c r="L6" i="12"/>
  <c r="G7" i="12"/>
  <c r="F9" i="12"/>
  <c r="L9" i="12"/>
  <c r="I10" i="12"/>
  <c r="N10" i="12" s="1"/>
  <c r="I12" i="12"/>
  <c r="I15" i="12"/>
  <c r="L16" i="12"/>
  <c r="I17" i="12"/>
  <c r="L21" i="12"/>
  <c r="I22" i="12"/>
  <c r="I24" i="12"/>
  <c r="L25" i="12"/>
  <c r="I26" i="12"/>
  <c r="L5" i="12"/>
  <c r="I6" i="12"/>
  <c r="F8" i="12"/>
  <c r="I13" i="12"/>
  <c r="I16" i="12"/>
  <c r="L17" i="12"/>
  <c r="L18" i="12"/>
  <c r="L19" i="12"/>
  <c r="I20" i="12"/>
  <c r="G21" i="12"/>
  <c r="L22" i="12"/>
  <c r="I23" i="12"/>
  <c r="L24" i="12"/>
  <c r="I25" i="12"/>
  <c r="L26" i="12"/>
  <c r="I27" i="12"/>
  <c r="F6" i="12"/>
  <c r="I7" i="12"/>
  <c r="L8" i="12"/>
  <c r="I9" i="12"/>
  <c r="F13" i="12"/>
  <c r="F16" i="12"/>
  <c r="I18" i="12"/>
  <c r="I19" i="12"/>
  <c r="G20" i="12"/>
  <c r="F23" i="12"/>
  <c r="F25" i="12"/>
  <c r="G27" i="12"/>
  <c r="L7" i="12"/>
  <c r="I8" i="12"/>
  <c r="F12" i="12"/>
  <c r="F15" i="12"/>
  <c r="L20" i="12"/>
  <c r="I21" i="12"/>
  <c r="F22" i="12"/>
  <c r="F24" i="12"/>
  <c r="F26" i="12"/>
  <c r="L27" i="12"/>
  <c r="K16" i="12" l="1"/>
  <c r="M17" i="12"/>
  <c r="K25" i="12"/>
  <c r="K24" i="12"/>
  <c r="M9" i="12"/>
  <c r="N21" i="12"/>
  <c r="M7" i="12"/>
  <c r="N22" i="12"/>
  <c r="M24" i="12"/>
  <c r="N16" i="12"/>
  <c r="N18" i="12"/>
  <c r="N25" i="12"/>
  <c r="M6" i="12"/>
  <c r="K15" i="12"/>
  <c r="K23" i="12"/>
  <c r="M27" i="12"/>
  <c r="M19" i="12"/>
  <c r="M15" i="12"/>
  <c r="N26" i="12"/>
  <c r="N8" i="12"/>
  <c r="N20" i="12"/>
  <c r="M23" i="12"/>
  <c r="K22" i="12"/>
  <c r="I29" i="12"/>
  <c r="N5" i="12"/>
  <c r="M8" i="12"/>
  <c r="M16" i="12"/>
  <c r="N7" i="12"/>
  <c r="N27" i="12"/>
  <c r="N23" i="12"/>
  <c r="N6" i="12"/>
  <c r="N15" i="12"/>
  <c r="K5" i="12"/>
  <c r="M13" i="12"/>
  <c r="L29" i="12"/>
  <c r="M5" i="12"/>
  <c r="M12" i="12"/>
  <c r="K8" i="12"/>
  <c r="N24" i="12"/>
  <c r="N17" i="12"/>
  <c r="K26" i="12"/>
  <c r="M20" i="12"/>
  <c r="K7" i="12"/>
  <c r="N19" i="12"/>
  <c r="K6" i="12"/>
  <c r="M26" i="12"/>
  <c r="M22" i="12"/>
  <c r="M18" i="12"/>
  <c r="M25" i="12"/>
  <c r="M21" i="12"/>
  <c r="G29" i="12"/>
  <c r="M29" i="12" l="1"/>
  <c r="F17" i="12" l="1"/>
  <c r="K17" i="12" s="1"/>
  <c r="J13" i="12"/>
  <c r="J12" i="12"/>
  <c r="F10" i="12"/>
  <c r="I1" i="17" l="1"/>
  <c r="J9" i="12"/>
  <c r="F29" i="12"/>
  <c r="K10" i="12"/>
  <c r="N12" i="12"/>
  <c r="K12" i="12"/>
  <c r="N13" i="12"/>
  <c r="K13" i="12"/>
  <c r="T74" i="17" l="1"/>
  <c r="T15" i="17"/>
  <c r="T14" i="17"/>
  <c r="T20" i="17"/>
  <c r="T4" i="17"/>
  <c r="T21" i="17"/>
  <c r="T25" i="17"/>
  <c r="T46" i="17"/>
  <c r="T62" i="17"/>
  <c r="T7" i="17"/>
  <c r="T37" i="17"/>
  <c r="T66" i="17"/>
  <c r="T36" i="17"/>
  <c r="T54" i="17"/>
  <c r="T75" i="17"/>
  <c r="T59" i="17"/>
  <c r="T23" i="17"/>
  <c r="T34" i="17"/>
  <c r="T52" i="17"/>
  <c r="T10" i="17"/>
  <c r="T49" i="17"/>
  <c r="T41" i="17"/>
  <c r="T22" i="17"/>
  <c r="T26" i="17"/>
  <c r="T50" i="17"/>
  <c r="T67" i="17"/>
  <c r="T9" i="17"/>
  <c r="T71" i="17"/>
  <c r="T60" i="17"/>
  <c r="T63" i="17"/>
  <c r="T13" i="17"/>
  <c r="T24" i="17"/>
  <c r="T40" i="17"/>
  <c r="T55" i="17"/>
  <c r="T6" i="17"/>
  <c r="T18" i="17"/>
  <c r="T61" i="17"/>
  <c r="T19" i="17"/>
  <c r="T51" i="17"/>
  <c r="T70" i="17"/>
  <c r="T47" i="17"/>
  <c r="T72" i="17"/>
  <c r="T56" i="17"/>
  <c r="T64" i="17"/>
  <c r="T68" i="17"/>
  <c r="T45" i="17"/>
  <c r="T42" i="17"/>
  <c r="T35" i="17"/>
  <c r="N9" i="12"/>
  <c r="N29" i="12" s="1"/>
  <c r="J29" i="12"/>
  <c r="K9" i="12"/>
  <c r="K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0" authorId="0" shapeId="0" xr:uid="{00000000-0006-0000-0200-000001000000}">
      <text>
        <r>
          <rPr>
            <b/>
            <sz val="9"/>
            <color indexed="81"/>
            <rFont val="Tahoma"/>
            <family val="2"/>
          </rPr>
          <t>user:</t>
        </r>
        <r>
          <rPr>
            <sz val="9"/>
            <color indexed="81"/>
            <rFont val="Tahoma"/>
            <family val="2"/>
          </rPr>
          <t xml:space="preserve">
Paiement fin 2019 / Appaition 2020</t>
        </r>
      </text>
    </comment>
    <comment ref="K19" authorId="0" shapeId="0" xr:uid="{00000000-0006-0000-0200-000002000000}">
      <text>
        <r>
          <rPr>
            <b/>
            <sz val="9"/>
            <color indexed="81"/>
            <rFont val="Tahoma"/>
            <family val="2"/>
          </rPr>
          <t>user:</t>
        </r>
        <r>
          <rPr>
            <sz val="9"/>
            <color indexed="81"/>
            <rFont val="Tahoma"/>
            <family val="2"/>
          </rPr>
          <t xml:space="preserve">
Paiement fin 2019 / Appaition 2020</t>
        </r>
      </text>
    </comment>
  </commentList>
</comments>
</file>

<file path=xl/sharedStrings.xml><?xml version="1.0" encoding="utf-8"?>
<sst xmlns="http://schemas.openxmlformats.org/spreadsheetml/2006/main" count="3758" uniqueCount="1387">
  <si>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</si>
  <si>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</si>
  <si>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</si>
  <si>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</si>
  <si>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</si>
  <si>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</si>
  <si>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</si>
  <si>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</si>
  <si>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</si>
  <si>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</si>
  <si>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</si>
  <si>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</si>
  <si>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</si>
  <si>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</si>
  <si>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</si>
  <si>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</si>
  <si>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</si>
  <si>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</si>
  <si>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</si>
  <si>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</si>
  <si>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</si>
  <si>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</si>
  <si>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</si>
  <si>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</si>
  <si>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</si>
  <si>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</si>
  <si>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</si>
  <si>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</si>
  <si>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</si>
  <si>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</si>
  <si>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</si>
  <si>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</si>
  <si>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</si>
  <si>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</si>
  <si>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</si>
  <si>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</si>
  <si>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</si>
  <si>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</si>
  <si>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</si>
  <si>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</si>
  <si>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</si>
  <si>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</si>
  <si>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</si>
  <si>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</si>
  <si>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</si>
  <si>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</si>
  <si>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</si>
  <si>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</si>
  <si>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</si>
  <si>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</si>
  <si>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</si>
  <si>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</si>
  <si>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</si>
  <si>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</si>
  <si>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</si>
  <si>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</si>
  <si>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</si>
  <si>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</si>
  <si>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</si>
  <si>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</si>
  <si>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</si>
  <si>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</si>
  <si>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</si>
  <si>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</si>
  <si>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</si>
  <si>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</si>
  <si>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</si>
  <si>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</si>
  <si>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</si>
  <si>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</si>
  <si>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</si>
  <si>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</si>
  <si>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</si>
  <si>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</si>
  <si>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</si>
  <si>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</si>
  <si>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</si>
  <si>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</si>
  <si>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</si>
  <si>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</si>
  <si>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</si>
  <si>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</si>
  <si>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</si>
  <si>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</si>
  <si>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</si>
  <si>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</si>
  <si>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</si>
  <si>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</si>
  <si>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</si>
  <si>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</si>
  <si>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</si>
  <si>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</si>
  <si>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</si>
  <si>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</si>
  <si>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</si>
  <si>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</si>
  <si>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</si>
  <si>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</si>
  <si>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</si>
  <si>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</si>
  <si>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</si>
  <si>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</si>
  <si>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</si>
  <si>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</si>
  <si>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</si>
  <si>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</si>
  <si>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</si>
  <si>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</si>
  <si>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</si>
  <si>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</si>
  <si>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</si>
  <si>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</si>
  <si>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</si>
  <si>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</si>
  <si>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</si>
  <si>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</si>
  <si>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</si>
  <si>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</si>
  <si>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</si>
  <si>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</si>
  <si>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</si>
  <si>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</si>
  <si>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</si>
  <si>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</si>
  <si>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</si>
  <si>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</si>
  <si>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</si>
  <si>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</si>
  <si>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</si>
  <si>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</si>
  <si>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</si>
  <si>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</si>
  <si>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</si>
  <si>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</si>
  <si>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</si>
  <si>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</si>
  <si>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</si>
  <si>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</si>
  <si>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</si>
  <si>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</si>
  <si>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</si>
  <si>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</si>
  <si>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</si>
  <si>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</si>
  <si>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</si>
  <si>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</si>
  <si>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</si>
  <si>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</si>
  <si>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</si>
  <si>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</si>
  <si>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</si>
  <si>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</si>
  <si>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</si>
  <si>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</si>
  <si>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</si>
  <si>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</si>
  <si>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</si>
  <si>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</si>
  <si>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</si>
  <si>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</si>
  <si>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</si>
  <si>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</si>
  <si>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</si>
  <si>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</si>
  <si>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</si>
  <si>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</si>
  <si>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</si>
  <si>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</si>
  <si>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</si>
  <si>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</si>
  <si>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</si>
  <si>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</si>
  <si>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</si>
  <si>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</si>
  <si>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</si>
  <si>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</si>
  <si>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</si>
  <si>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</si>
  <si>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</si>
  <si>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</si>
  <si>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</si>
  <si>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</si>
  <si>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</si>
  <si>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</si>
  <si>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</si>
  <si>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</si>
  <si>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</si>
  <si>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</si>
  <si>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</si>
  <si>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</si>
  <si>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</si>
  <si>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</si>
  <si>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</si>
  <si>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</si>
  <si>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</si>
  <si>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</si>
  <si>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</si>
  <si>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</si>
  <si>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</si>
  <si>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</si>
  <si>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</si>
  <si>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</si>
  <si>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</si>
  <si>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</si>
  <si>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</si>
  <si>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</si>
  <si>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</si>
  <si>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</si>
  <si>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</si>
  <si>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</si>
  <si>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</si>
  <si>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</si>
  <si>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</si>
  <si>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</si>
  <si>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</si>
  <si>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</si>
  <si>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</si>
  <si>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</si>
  <si>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</si>
  <si>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AMOUNT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</si>
  <si>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</si>
  <si>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</si>
  <si>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</si>
  <si>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</si>
  <si>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</si>
  <si>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</si>
  <si>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</si>
  <si>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</si>
  <si>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</si>
  <si>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</si>
  <si>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</si>
  <si>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</si>
  <si>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</si>
  <si>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</si>
  <si>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</si>
  <si>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</si>
  <si>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Link: http://www.adaptation-fund.org/sites/default/files/Results%20Framework%20and%20Baseline%20Guidance%20final.pdf</t>
  </si>
  <si>
    <t>Baseline</t>
  </si>
  <si>
    <t>Project Performance Report (PPR)</t>
  </si>
  <si>
    <t>Indicator</t>
  </si>
  <si>
    <t>Type of Indicator</t>
  </si>
  <si>
    <t>PROJECT Indicators</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</si>
  <si>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</si>
  <si>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</si>
  <si>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</si>
  <si>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</si>
  <si>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</si>
  <si>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</si>
  <si>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</si>
  <si>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</si>
  <si>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</si>
  <si>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</si>
  <si>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</si>
  <si>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</si>
  <si>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</si>
  <si>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</si>
  <si>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</si>
  <si>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</si>
  <si>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</si>
  <si>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</si>
  <si>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</si>
  <si>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</si>
  <si>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</si>
  <si>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</si>
  <si>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</si>
  <si>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</si>
  <si>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</si>
  <si>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</si>
  <si>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</si>
  <si>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</si>
  <si>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</si>
  <si>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</si>
  <si>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</si>
  <si>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</si>
  <si>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</si>
  <si>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</si>
  <si>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</si>
  <si>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</si>
  <si>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</si>
  <si>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</si>
  <si>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</si>
  <si>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</si>
  <si>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</si>
  <si>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</si>
  <si>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</si>
  <si>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</si>
  <si>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</si>
  <si>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</si>
  <si>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</si>
  <si>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</si>
  <si>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</si>
  <si>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</si>
  <si>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</si>
  <si>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</si>
  <si>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</si>
  <si>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</si>
  <si>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</si>
  <si>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</si>
  <si>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</si>
  <si>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</si>
  <si>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</si>
  <si>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</si>
  <si>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</si>
  <si>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</si>
  <si>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</si>
  <si>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</si>
  <si>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</si>
  <si>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</si>
  <si>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</si>
  <si>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</si>
  <si>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</si>
  <si>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</si>
  <si>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</si>
  <si>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</si>
  <si>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</si>
  <si>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</si>
  <si>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</si>
  <si>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</si>
  <si>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</si>
  <si>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</si>
  <si>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</si>
  <si>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</si>
  <si>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</si>
  <si>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</si>
  <si>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</si>
  <si>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</si>
  <si>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</si>
  <si>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</si>
  <si>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</si>
  <si>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</si>
  <si>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</si>
  <si>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</si>
  <si>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</si>
  <si>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</si>
  <si>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</si>
  <si>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</si>
  <si>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</si>
  <si>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</si>
  <si>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</si>
  <si>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</si>
  <si>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</si>
  <si>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</si>
  <si>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</si>
  <si>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</si>
  <si>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</si>
  <si>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</si>
  <si>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</si>
  <si>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</si>
  <si>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</si>
  <si>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</si>
  <si>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</si>
  <si>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Indicator 3.1.1: Percentage in targeted population awareness of predicted adverse impacts of climate change, and of appropriate responses</t>
  </si>
  <si>
    <t>No. of targeted beneficiaries</t>
  </si>
  <si>
    <t>% of female participants targeted</t>
  </si>
  <si>
    <t>Level of awareness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</si>
  <si>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</si>
  <si>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</si>
  <si>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</si>
  <si>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</si>
  <si>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</si>
  <si>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</si>
  <si>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</si>
  <si>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</si>
  <si>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</si>
  <si>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</si>
  <si>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</si>
  <si>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</si>
  <si>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</si>
  <si>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</si>
  <si>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</si>
  <si>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</si>
  <si>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</si>
  <si>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</si>
  <si>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</si>
  <si>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</si>
  <si>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</si>
  <si>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</si>
  <si>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</si>
  <si>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</si>
  <si>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</si>
  <si>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</si>
  <si>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</si>
  <si>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</si>
  <si>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</si>
  <si>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</si>
  <si>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</si>
  <si>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</si>
  <si>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</si>
  <si>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</si>
  <si>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</si>
  <si>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</si>
  <si>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</si>
  <si>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</si>
  <si>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</si>
  <si>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</si>
  <si>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</si>
  <si>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</si>
  <si>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</si>
  <si>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</si>
  <si>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</si>
  <si>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</si>
  <si>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</si>
  <si>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</si>
  <si>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</si>
  <si>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</si>
  <si>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</si>
  <si>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</si>
  <si>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</si>
  <si>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</si>
  <si>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</si>
  <si>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</si>
  <si>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</si>
  <si>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</si>
  <si>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</si>
  <si>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</si>
  <si>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</si>
  <si>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</si>
  <si>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</si>
  <si>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</si>
  <si>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</si>
  <si>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</si>
  <si>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</si>
  <si>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</si>
  <si>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</si>
  <si>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</si>
  <si>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</si>
  <si>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</si>
  <si>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</si>
  <si>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</si>
  <si>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</si>
  <si>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</si>
  <si>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</si>
  <si>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</si>
  <si>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</si>
  <si>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</si>
  <si>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</si>
  <si>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</si>
  <si>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</si>
  <si>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</si>
  <si>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</si>
  <si>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</si>
  <si>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</si>
  <si>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</si>
  <si>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</si>
  <si>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</si>
  <si>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</si>
  <si>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</si>
  <si>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</si>
  <si>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</si>
  <si>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</si>
  <si>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</si>
  <si>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</si>
  <si>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</si>
  <si>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</si>
  <si>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</si>
  <si>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</si>
  <si>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</si>
  <si>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</si>
  <si>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</si>
  <si>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</si>
  <si>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</si>
  <si>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</si>
  <si>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</si>
  <si>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</si>
  <si>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</si>
  <si>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</si>
  <si>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</si>
  <si>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</si>
  <si>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</si>
  <si>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</si>
  <si>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</si>
  <si>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</si>
  <si>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</si>
  <si>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</si>
  <si>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</si>
  <si>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</si>
  <si>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</si>
  <si>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</si>
  <si>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</si>
  <si>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</si>
  <si>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</si>
  <si>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</si>
  <si>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</si>
  <si>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</si>
  <si>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</si>
  <si>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</si>
  <si>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</si>
  <si>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</si>
  <si>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</si>
  <si>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</si>
  <si>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</si>
  <si>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</si>
  <si>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</si>
  <si>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</si>
  <si>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</si>
  <si>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</si>
  <si>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</si>
  <si>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</si>
  <si>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</si>
  <si>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</si>
  <si>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</si>
  <si>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</si>
  <si>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</si>
  <si>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</si>
  <si>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</si>
  <si>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</si>
  <si>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</si>
  <si>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</si>
  <si>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</si>
  <si>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</si>
  <si>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</si>
  <si>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</si>
  <si>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</si>
  <si>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</si>
  <si>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</si>
  <si>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</si>
  <si>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</si>
  <si>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</si>
  <si>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</si>
  <si>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</si>
  <si>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</si>
  <si>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</si>
  <si>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</si>
  <si>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</si>
  <si>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</si>
  <si>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</si>
  <si>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</si>
  <si>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</si>
  <si>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</si>
  <si>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</si>
  <si>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</si>
  <si>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</si>
  <si>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</si>
  <si>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</si>
  <si>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</si>
  <si>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</si>
  <si>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</si>
  <si>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</si>
  <si>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</si>
  <si>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</si>
  <si>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</si>
  <si>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</si>
  <si>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</si>
  <si>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</si>
  <si>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</si>
  <si>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</si>
  <si>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</si>
  <si>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</si>
  <si>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</si>
  <si>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</si>
  <si>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</si>
  <si>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</si>
  <si>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</si>
  <si>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</si>
  <si>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</si>
  <si>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</si>
  <si>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</si>
  <si>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</si>
  <si>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</si>
  <si>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</si>
  <si>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</si>
  <si>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</si>
  <si>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</si>
  <si>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</si>
  <si>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</si>
  <si>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</si>
  <si>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</si>
  <si>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</si>
  <si>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</si>
  <si>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</si>
  <si>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</si>
  <si>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</si>
  <si>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</si>
  <si>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</si>
  <si>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</si>
  <si>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</si>
  <si>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</si>
  <si>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</si>
  <si>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</si>
  <si>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</si>
  <si>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</si>
  <si>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</si>
  <si>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</si>
  <si>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</si>
  <si>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</si>
  <si>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</si>
  <si>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</si>
  <si>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</si>
  <si>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</si>
  <si>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</si>
  <si>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</si>
  <si>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</si>
  <si>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</si>
  <si>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</si>
  <si>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</si>
  <si>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</si>
  <si>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</si>
  <si>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</si>
  <si>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</si>
  <si>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</si>
  <si>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</si>
  <si>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</si>
  <si>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</si>
  <si>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</si>
  <si>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</si>
  <si>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</si>
  <si>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</si>
  <si>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</si>
  <si>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</si>
  <si>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</si>
  <si>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</si>
  <si>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</si>
  <si>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</si>
  <si>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</si>
  <si>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</si>
  <si>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</si>
  <si>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</si>
  <si>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</si>
  <si>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</si>
  <si>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</si>
  <si>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</si>
  <si>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</si>
  <si>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</si>
  <si>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</si>
  <si>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</si>
  <si>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</si>
  <si>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</si>
  <si>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</si>
  <si>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</si>
  <si>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</si>
  <si>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</si>
  <si>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</si>
  <si>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</si>
  <si>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</si>
  <si>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</si>
  <si>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</si>
  <si>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</si>
  <si>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</si>
  <si>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</si>
  <si>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</si>
  <si>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</si>
  <si>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</si>
  <si>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</si>
  <si>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</si>
  <si>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</si>
  <si>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</si>
  <si>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</si>
  <si>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</si>
  <si>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</si>
  <si>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</si>
  <si>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</si>
  <si>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</si>
  <si>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</si>
  <si>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</si>
  <si>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</si>
  <si>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</si>
  <si>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</si>
  <si>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</si>
  <si>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Agence pour Développement Agricole (ADA)</t>
  </si>
  <si>
    <t xml:space="preserve">Projet d’Adaptation au Changements Climatiques dans les Zones Oasiennes au Maroc PACCZO </t>
  </si>
  <si>
    <t>Composantes</t>
  </si>
  <si>
    <t>Intitule</t>
  </si>
  <si>
    <t>Montant délégué (1)</t>
  </si>
  <si>
    <t>Montant redéployé (1i)</t>
  </si>
  <si>
    <t>TYPE</t>
  </si>
  <si>
    <t>Montants engagés (2)</t>
  </si>
  <si>
    <t>Reliquat 
(1)-(2)</t>
  </si>
  <si>
    <t>Montant payé</t>
  </si>
  <si>
    <t>% Paie.</t>
  </si>
  <si>
    <t>Reste à payer</t>
  </si>
  <si>
    <t>Mnt marchés</t>
  </si>
  <si>
    <t>int. moratoires</t>
  </si>
  <si>
    <t>Fonds du projet</t>
  </si>
  <si>
    <t>C1+C4</t>
  </si>
  <si>
    <t>Convention de partenariat ABH GZR</t>
  </si>
  <si>
    <t xml:space="preserve"> Convention </t>
  </si>
  <si>
    <t>Convention de partenariat ORMVAO</t>
  </si>
  <si>
    <t>Convention de partenariat ORMVAT</t>
  </si>
  <si>
    <t>C2</t>
  </si>
  <si>
    <t>Contribution aux projets de partenariat</t>
  </si>
  <si>
    <t xml:space="preserve"> 11 Conventions </t>
  </si>
  <si>
    <t>C5</t>
  </si>
  <si>
    <t xml:space="preserve"> Marché 10/15 </t>
  </si>
  <si>
    <t>Activité 5.1.1.2 (Particip. rencontres &amp; forums)</t>
  </si>
  <si>
    <t>- -</t>
  </si>
  <si>
    <t xml:space="preserve"> Marché 05/16</t>
  </si>
  <si>
    <t xml:space="preserve"> Marché 06/16</t>
  </si>
  <si>
    <t>Frais d'exécution</t>
  </si>
  <si>
    <t>Equipement</t>
  </si>
  <si>
    <t>Dérogation PG</t>
  </si>
  <si>
    <t xml:space="preserve"> BC N°22/15 </t>
  </si>
  <si>
    <t xml:space="preserve"> Marché 11/15 </t>
  </si>
  <si>
    <t xml:space="preserve"> BC N°19/15 </t>
  </si>
  <si>
    <t xml:space="preserve"> BC N°20/15 </t>
  </si>
  <si>
    <t xml:space="preserve"> BC N°12/16 </t>
  </si>
  <si>
    <t xml:space="preserve"> BC N°13/16 </t>
  </si>
  <si>
    <t xml:space="preserve"> BC N°17/15 </t>
  </si>
  <si>
    <t>Travel expenses</t>
  </si>
  <si>
    <t>CV 1729/15</t>
  </si>
  <si>
    <t>CV 3905/15</t>
  </si>
  <si>
    <t>CV 05/15</t>
  </si>
  <si>
    <t>CV 04/16</t>
  </si>
  <si>
    <t>--</t>
  </si>
  <si>
    <t>Acquisition of transport equipment (vehicles)</t>
  </si>
  <si>
    <t>Acquisition of computer hardware</t>
  </si>
  <si>
    <t>Acquisition of photocopiers, multimedia and office supplies</t>
  </si>
  <si>
    <t>Publication and communication costs</t>
  </si>
  <si>
    <t>SNTL</t>
  </si>
  <si>
    <t>Transportation within the Morocco</t>
  </si>
  <si>
    <t>Maintenance and fuel costs</t>
  </si>
  <si>
    <t>Catering and accommodation</t>
  </si>
  <si>
    <t>Technical Assitance for ANDZOA</t>
  </si>
  <si>
    <t>EIES/PGES</t>
  </si>
  <si>
    <t>Training</t>
  </si>
  <si>
    <r>
      <rPr>
        <b/>
        <u/>
        <sz val="11"/>
        <color rgb="FFC00000"/>
        <rFont val="Calibri"/>
        <family val="2"/>
        <scheme val="minor"/>
      </rPr>
      <t>Outcome 1</t>
    </r>
    <r>
      <rPr>
        <sz val="11"/>
        <color theme="1"/>
        <rFont val="Calibri"/>
        <family val="2"/>
        <scheme val="minor"/>
      </rPr>
      <t>: Reduced exposure to climate-related hazards and threats</t>
    </r>
  </si>
  <si>
    <r>
      <rPr>
        <b/>
        <u/>
        <sz val="11"/>
        <color rgb="FFC00000"/>
        <rFont val="Calibri"/>
        <family val="2"/>
        <scheme val="minor"/>
      </rPr>
      <t>Outcome 2</t>
    </r>
    <r>
      <rPr>
        <sz val="11"/>
        <color theme="1"/>
        <rFont val="Calibri"/>
        <family val="2"/>
        <scheme val="minor"/>
      </rPr>
      <t>: Strengthened institutional capacity to reduce risks associated with climate-induced socioeconomic and environmental losses</t>
    </r>
  </si>
  <si>
    <r>
      <rPr>
        <b/>
        <u/>
        <sz val="11"/>
        <color rgb="FFC00000"/>
        <rFont val="Calibri"/>
        <family val="2"/>
        <scheme val="minor"/>
      </rPr>
      <t>Output 3</t>
    </r>
    <r>
      <rPr>
        <sz val="11"/>
        <color theme="1"/>
        <rFont val="Calibri"/>
        <family val="2"/>
        <scheme val="minor"/>
      </rPr>
      <t xml:space="preserve">: Targeted population groups participating in adaptation and risk reduction awareness activities </t>
    </r>
  </si>
  <si>
    <r>
      <rPr>
        <b/>
        <u/>
        <sz val="11"/>
        <color rgb="FFC00000"/>
        <rFont val="Calibri"/>
        <family val="2"/>
        <scheme val="minor"/>
      </rPr>
      <t>Outcome 4</t>
    </r>
    <r>
      <rPr>
        <sz val="11"/>
        <color theme="1"/>
        <rFont val="Calibri"/>
        <family val="2"/>
        <scheme val="minor"/>
      </rPr>
      <t>: Increased adaptive capacity within relevant development sector services and infrastructure assets</t>
    </r>
  </si>
  <si>
    <r>
      <rPr>
        <b/>
        <u/>
        <sz val="11"/>
        <color rgb="FFC00000"/>
        <rFont val="Calibri"/>
        <family val="2"/>
        <scheme val="minor"/>
      </rPr>
      <t>Outcome 5</t>
    </r>
    <r>
      <rPr>
        <sz val="11"/>
        <color theme="1"/>
        <rFont val="Calibri"/>
        <family val="2"/>
        <scheme val="minor"/>
      </rPr>
      <t>: Increased ecosystem resilience in response to climate change and variability-induced stress</t>
    </r>
  </si>
  <si>
    <r>
      <rPr>
        <b/>
        <u/>
        <sz val="11"/>
        <color rgb="FFC00000"/>
        <rFont val="Calibri"/>
        <family val="2"/>
        <scheme val="minor"/>
      </rPr>
      <t>Outcome 6</t>
    </r>
    <r>
      <rPr>
        <sz val="11"/>
        <color theme="1"/>
        <rFont val="Calibri"/>
        <family val="2"/>
        <scheme val="minor"/>
      </rPr>
      <t>: Diversified and strengthened livelihoods and sources of income for vulnerable people in targeted areas</t>
    </r>
  </si>
  <si>
    <r>
      <rPr>
        <b/>
        <u/>
        <sz val="11"/>
        <color theme="1"/>
        <rFont val="Calibri"/>
        <family val="2"/>
        <scheme val="minor"/>
      </rPr>
      <t>Outcome 7</t>
    </r>
    <r>
      <rPr>
        <sz val="11"/>
        <color theme="1"/>
        <rFont val="Calibri"/>
        <family val="2"/>
        <scheme val="minor"/>
      </rPr>
      <t>: Improved policies and regulations that promote and enforce resilience measures</t>
    </r>
  </si>
  <si>
    <t>Number of oases inhabitants vulnerable to the adverse effects of climate variability and change</t>
  </si>
  <si>
    <t>Development of water sectors' services responsive to evolving needs from changing and variable climate.</t>
  </si>
  <si>
    <t>Agricultural irrigation efficiency (%)</t>
  </si>
  <si>
    <t>Percentage of households with diversified income sources and sustained climate-resilient alternative livelihoods.</t>
  </si>
  <si>
    <t>VA/ha</t>
  </si>
  <si>
    <t>Number and type of economic units (existing or new) that develop in a manner adapted to climate change.</t>
  </si>
  <si>
    <t>Number of oases that have reduced the threats to their ecosystem and preserved their heritage</t>
  </si>
  <si>
    <t>Number of oases that have reduced the threats to their ecosystem.</t>
  </si>
  <si>
    <t>Number of solicitations for restoring post-project</t>
  </si>
  <si>
    <t>Part of the targeted municipal populations are educated on climate change issues</t>
  </si>
  <si>
    <t>The importance of communicating on the issue of climate change</t>
  </si>
  <si>
    <t>Population of targeted groups are educated on the overall issues relating to climate change</t>
  </si>
  <si>
    <t>No. of Officials and beneficiaries trained with reinforced capacities in adaptation project management.</t>
  </si>
  <si>
    <t>Number of officials and beneficiaries whose adaptability to climate change has been strengthened.</t>
  </si>
  <si>
    <t>Number of officials and beneficiaries whose ability to collectively manage climate change adaptation projects has been strengthened</t>
  </si>
  <si>
    <t>There are no concrete adaptation measures currently being implemented in the project areas</t>
  </si>
  <si>
    <t>By the end of the project, at least 4000 of the most vulnerable inhabitants in the project area will benefit from the proposed activities to cope with their vulnerability to climate change</t>
  </si>
  <si>
    <t>There is evidence on the shortages by basin being updated</t>
  </si>
  <si>
    <t>At least 10% of households secure their access to water for drinking and irrigation.</t>
  </si>
  <si>
    <t>Project Objective: Improve the adaptability of the Oasis populations to the impacts of climate change</t>
  </si>
  <si>
    <t xml:space="preserve">Available studies indicate the rate water mobilization by basin </t>
  </si>
  <si>
    <t>Approximately 2 million m3</t>
  </si>
  <si>
    <t>Efficiency ratios of the traditional networks are below 50% according to APP (Agency for the Partnership for Progress)</t>
  </si>
  <si>
    <t>70% efficiency</t>
  </si>
  <si>
    <t>The poverty rate in the zone remains especially high</t>
  </si>
  <si>
    <t>At least 20% of families have diversified and improved their livelihoods through more resilient activities.</t>
  </si>
  <si>
    <t>37000dh/ha (according to APP)</t>
  </si>
  <si>
    <t>20% increase for an objective of MAD 45000 per ha</t>
  </si>
  <si>
    <t>Experiments near the project zones have successfully developed high value non-agricultural sectors</t>
  </si>
  <si>
    <t>At least 20 economic units</t>
  </si>
  <si>
    <t>The MEA/FAO/UNESCO/PACO studies have sounded the alarm</t>
  </si>
  <si>
    <t>At least 4 oases</t>
  </si>
  <si>
    <t>Consultation workshops have stressed the importance of the degradation of ecosystems</t>
  </si>
  <si>
    <t>At least 4 oases participate in a dynamic for protecting the ecosystems.</t>
  </si>
  <si>
    <t>Few landowners are currently interested in restoration or construction because they fear that their home will become a museum.</t>
  </si>
  <si>
    <t>There are solicitations.</t>
  </si>
  <si>
    <t>The population has heard of climate change but it remains an abstract concept that has yet to be connected to changes in the area.</t>
  </si>
  <si>
    <t>60% of households in the project zones</t>
  </si>
  <si>
    <t>Informal debates exist but there is a lack of data and areas for expression needed to reinforce the message.</t>
  </si>
  <si>
    <t>Media coverage</t>
  </si>
  <si>
    <t>Communication/awareness campaigns are not targeted</t>
  </si>
  <si>
    <t>Targeted content of communication/awareness campaigns</t>
  </si>
  <si>
    <t>The project intervention zones have not had any capacity building activities</t>
  </si>
  <si>
    <t>There are major knowledge disparities between stakeholders</t>
  </si>
  <si>
    <t>The stakeholders are not familiar with the dialogue process in managing development projects</t>
  </si>
  <si>
    <t xml:space="preserve"> Efficiency of mobilization</t>
  </si>
  <si>
    <r>
      <t xml:space="preserve">List </t>
    </r>
    <r>
      <rPr>
        <b/>
        <u/>
        <sz val="11"/>
        <color rgb="FFFF0000"/>
        <rFont val="Times New Roman"/>
        <family val="1"/>
      </rPr>
      <t>ouput</t>
    </r>
    <r>
      <rPr>
        <b/>
        <sz val="11"/>
        <color indexed="8"/>
        <rFont val="Times New Roman"/>
        <family val="1"/>
      </rPr>
      <t xml:space="preserve"> and corresponding amount spent for the current reporting period</t>
    </r>
  </si>
  <si>
    <t>STE AS2T INGENIERIE</t>
  </si>
  <si>
    <t>STE ECTA2E</t>
  </si>
  <si>
    <t>Formations</t>
  </si>
  <si>
    <t>STE NEGOVERT</t>
  </si>
  <si>
    <t>STE WINZIZ</t>
  </si>
  <si>
    <t>Assistance technique (ANDZOA)</t>
  </si>
  <si>
    <t>Etude EIES/PGES</t>
  </si>
  <si>
    <t xml:space="preserve"> Marché 05/15 </t>
  </si>
  <si>
    <t>STE NOVEC</t>
  </si>
  <si>
    <t>GPT CLINIQUE PLANTES &amp; CADINOV</t>
  </si>
  <si>
    <t>Acquisition de matériel de transport</t>
  </si>
  <si>
    <t>STE H2S INGENIEURIE</t>
  </si>
  <si>
    <t xml:space="preserve">Frais d’acquisition de matériel informatique </t>
  </si>
  <si>
    <t>Frais d’acquisition photocopieurs, multimédia et fourniture de bureau</t>
  </si>
  <si>
    <t xml:space="preserve"> Marché 6/16</t>
  </si>
  <si>
    <t>STE YOURI CONSULTING</t>
  </si>
  <si>
    <t>STE 3 ANGLES ETUDES</t>
  </si>
  <si>
    <t>GPT ID GREEN LAND &amp; ALPHA</t>
  </si>
  <si>
    <t>STE DMIC</t>
  </si>
  <si>
    <t xml:space="preserve">Frais de publication et communication </t>
  </si>
  <si>
    <t>STE CAPITAL RH</t>
  </si>
  <si>
    <t>Frais de déplacements</t>
  </si>
  <si>
    <t xml:space="preserve">Frais de transport à l’intérieur du royaume </t>
  </si>
  <si>
    <t>STE TEAM MAROC</t>
  </si>
  <si>
    <t xml:space="preserve">Frais d’entretien et carburant </t>
  </si>
  <si>
    <t>STE CID</t>
  </si>
  <si>
    <t xml:space="preserve">Restauration, et hébergement </t>
  </si>
  <si>
    <t>GPT STE SELF &amp; STE AREMO</t>
  </si>
  <si>
    <t>BC 13/15</t>
  </si>
  <si>
    <t>STE ETERCOS</t>
  </si>
  <si>
    <t>STE LIBRAIRIE IQRAE</t>
  </si>
  <si>
    <t>STE AMANOUN DAOUD</t>
  </si>
  <si>
    <t>BC 12/15</t>
  </si>
  <si>
    <t>STE ERRACHIDIA GRAPHIQUE</t>
  </si>
  <si>
    <t>STE OMEGA SUD</t>
  </si>
  <si>
    <t>BC 17/15</t>
  </si>
  <si>
    <t>STE ARCO PRINT</t>
  </si>
  <si>
    <t>STE IMPREMERIE ALJBOUN</t>
  </si>
  <si>
    <t>STE MEDAGRAPH PUB</t>
  </si>
  <si>
    <t>BC 22/15</t>
  </si>
  <si>
    <t>STE AXANET SERVICES</t>
  </si>
  <si>
    <t>STE NSIB</t>
  </si>
  <si>
    <t>STE RESO2DAY SERVICES</t>
  </si>
  <si>
    <t>BC 19/15</t>
  </si>
  <si>
    <t>STE AYOU ALI ELEC</t>
  </si>
  <si>
    <t>BC 20/15</t>
  </si>
  <si>
    <t>STE TAFILALET BUREAU</t>
  </si>
  <si>
    <t>STE DOUSDATE</t>
  </si>
  <si>
    <t>STE OISIS MIR</t>
  </si>
  <si>
    <t>CV 04/15</t>
  </si>
  <si>
    <t>STE TRIOMUS</t>
  </si>
  <si>
    <t>STE ALAOUI NAJIB</t>
  </si>
  <si>
    <t>Outcome 2: Strengthened institutional capacity to reduce risks associated with climate-induced socioeconomic and environmental losses</t>
  </si>
  <si>
    <t xml:space="preserve">Output 3: Targeted population groups participating in adaptation and risk reduction awareness activities </t>
  </si>
  <si>
    <t>Outcome 4: Increased adaptive capacity within relevant development sector services and infrastructure assets</t>
  </si>
  <si>
    <t>Outcome 5: Increased ecosystem resilience in response to climate change and variability-induced stress</t>
  </si>
  <si>
    <t>Outcome 6: Diversified and strengthened livelihoods and sources of income for vulnerable people in targeted areas</t>
  </si>
  <si>
    <t>Outcome 7: Improved policies and regulations that promote and enforce resilience measures</t>
  </si>
  <si>
    <r>
      <rPr>
        <b/>
        <u/>
        <sz val="11"/>
        <color theme="1"/>
        <rFont val="Calibri"/>
        <family val="2"/>
        <scheme val="minor"/>
      </rPr>
      <t>Outcome 1</t>
    </r>
    <r>
      <rPr>
        <sz val="11"/>
        <color theme="1"/>
        <rFont val="Calibri"/>
        <family val="2"/>
        <scheme val="minor"/>
      </rPr>
      <t>: Reduced exposure to climate-related hazards and threats</t>
    </r>
  </si>
  <si>
    <r>
      <rPr>
        <b/>
        <u/>
        <sz val="10"/>
        <color theme="1"/>
        <rFont val="Calibri"/>
        <family val="2"/>
        <scheme val="minor"/>
      </rPr>
      <t>Core Indicator</t>
    </r>
    <r>
      <rPr>
        <sz val="10"/>
        <color theme="1"/>
        <rFont val="Calibri"/>
        <family val="2"/>
        <scheme val="minor"/>
      </rPr>
      <t>: No. of beneficiaries</t>
    </r>
  </si>
  <si>
    <r>
      <rPr>
        <b/>
        <u/>
        <sz val="10"/>
        <color theme="1"/>
        <rFont val="Calibri"/>
        <family val="2"/>
        <scheme val="minor"/>
      </rPr>
      <t>Core Indicator</t>
    </r>
    <r>
      <rPr>
        <sz val="10"/>
        <color theme="1"/>
        <rFont val="Calibri"/>
        <family val="2"/>
        <scheme val="minor"/>
      </rPr>
      <t xml:space="preserve"> 1.2: No. of Early Warning Systems</t>
    </r>
  </si>
  <si>
    <r>
      <rPr>
        <b/>
        <u/>
        <sz val="10"/>
        <color theme="1"/>
        <rFont val="Calibri"/>
        <family val="2"/>
        <scheme val="minor"/>
      </rPr>
      <t>Core Indicator</t>
    </r>
    <r>
      <rPr>
        <sz val="10"/>
        <color theme="1"/>
        <rFont val="Calibri"/>
        <family val="2"/>
        <scheme val="minor"/>
      </rPr>
      <t xml:space="preserve"> 4.2: Assets produced, developed, improved or strengthened</t>
    </r>
  </si>
  <si>
    <r>
      <rPr>
        <b/>
        <u/>
        <sz val="10"/>
        <color theme="1"/>
        <rFont val="Calibri"/>
        <family val="2"/>
        <scheme val="minor"/>
      </rPr>
      <t>Core Indicator</t>
    </r>
    <r>
      <rPr>
        <sz val="10"/>
        <color theme="1"/>
        <rFont val="Calibri"/>
        <family val="2"/>
        <scheme val="minor"/>
      </rPr>
      <t xml:space="preserve"> 5.1: Natural Assets protected or rehabilitated</t>
    </r>
  </si>
  <si>
    <r>
      <rPr>
        <b/>
        <u/>
        <sz val="10"/>
        <color theme="1"/>
        <rFont val="Calibri"/>
        <family val="2"/>
        <scheme val="minor"/>
      </rPr>
      <t>Core Indicator</t>
    </r>
    <r>
      <rPr>
        <sz val="10"/>
        <color theme="1"/>
        <rFont val="Calibri"/>
        <family val="2"/>
        <scheme val="minor"/>
      </rPr>
      <t xml:space="preserve"> 6.1.2: Increased income, or avoided decrease in income</t>
    </r>
  </si>
  <si>
    <t>2: Physical asset (produced/improved/strenghtened)</t>
  </si>
  <si>
    <t xml:space="preserve">Inception Phase of the Project completed </t>
  </si>
  <si>
    <t>Inception Phase activities commenced in December 2015. Within this phase, recruitment of the Technical Assistance (for NIE &amp; EIE), the inception workshop and partnership agreements were held.</t>
  </si>
  <si>
    <t>Strengthening the capacities of participants in the design and implementation of adaptation measures</t>
  </si>
  <si>
    <t>Improving stakeholder awareness though the management and exchange of knowledge</t>
  </si>
  <si>
    <t>The population has awarned of climate change.</t>
  </si>
  <si>
    <t>Outcome 4: Increased adaptive capacity within relevant development sector services and infrastructure asset</t>
  </si>
  <si>
    <t>Improving adaptive capacities of the water sector</t>
  </si>
  <si>
    <t>Improving the ecosystems’ resilience in response to climate change and variability</t>
  </si>
  <si>
    <t>Diversifying income sources and improving the living conditions of populations vulnerable to climate change in the targeted areas</t>
  </si>
  <si>
    <t>Implementing Agency</t>
  </si>
  <si>
    <t xml:space="preserve">Project Objective: Help reduce the vulnerability of people and oasis agro ecosystems in Morocco to climate change by increasing the adaptive capacity of local actors, increasing the resilience of the target ecosystem and by disseminating knowledge management.
</t>
  </si>
  <si>
    <t>Inception Phase activities commenced on 14, December 2015. Within this phase, recruitment of the Technical Assistance for both NIE &amp; EE, the inception workshop were held. The various activities of the project components have been started</t>
  </si>
  <si>
    <t>Institutionnal risk / The project is likely to suffer the consequences of inadequate staffing and a lack of qualified personnel, which affects some of the project stakeholders, particularly certain rural
local authorities.</t>
  </si>
  <si>
    <t>Institutionnal risk /  The participatory approach promoted by the project runs the risk of being reduced or even diverted by local interest groups.</t>
  </si>
  <si>
    <t>Technical risk / In light of past experiences showing the difficulties faced by similar projects covering geographically remote and disadvantaged areas, risks relating to the sustainability of actions still remain</t>
  </si>
  <si>
    <t>Technical risk /  The groundwater refill
structures could affect the access to resources in certain downstream sites</t>
  </si>
  <si>
    <t>Environomental risk / Adverse climate conditions could have a negative effect
on the success of the project.</t>
  </si>
  <si>
    <t>Financial risk / The project activities risk being delayed by the circuits for transferring funds.</t>
  </si>
  <si>
    <t>No changes were made to project outputs</t>
  </si>
  <si>
    <t xml:space="preserve">oubrhou@gmail.com </t>
  </si>
  <si>
    <r>
      <t xml:space="preserve">PACCZO Project aims to help reduce the vulnerability of people and oasis agro ecosystems in Morocco to climate change by increasing the adaptive capacity of local actors, increasing the resilience of the target ecosystem and by disseminating knowledge management.
Actions will include improved management of soil and water resources, as well as the use of
resistant varieties of palm trees and training sessions for the stakeholders.
The project objectives will be achieved through five components:
</t>
    </r>
    <r>
      <rPr>
        <sz val="10"/>
        <color theme="1"/>
        <rFont val="Calibri"/>
        <family val="2"/>
        <scheme val="minor"/>
      </rPr>
      <t xml:space="preserve">      </t>
    </r>
    <r>
      <rPr>
        <sz val="10"/>
        <color theme="1"/>
        <rFont val="Times New Roman"/>
        <family val="1"/>
      </rPr>
      <t>- Component 1: Improving adaptive capacities of the water sector.
      - Component 2: Diversifying income sources and improving the living conditions of populations vulnerable to climate change.
       - Component 3: Improving the ecosystems’ resilience in response to climate change and variability.
       - Component 4: Improving stakeholder awareness though the management and exchange of knowledge.
       - Component 5: Strengthening the capacities of participants in the design and implementation of adaptation measures.</t>
    </r>
  </si>
  <si>
    <t>Bassin Maider "area located downstream of a catchment where the availability of water resources must be protected to ensure the preservation of the drinking water supply" (Regions : Alnif, Hssia, Mssissi, Tazarine, Taghbalte, Ait Oualal, Ait Boudaoud, Nkob) 
Bassin Gheris "area located in the intermediary part of a catchment where water resources can still be mobilized for saving the palm groves with a potential for agricultural production" (Regions : Ferkla, Gheris, Tinjdad, Mellaab)</t>
  </si>
  <si>
    <t xml:space="preserve">http://andzoa.ma/fr/2016/01/26/atelier-de-demarrage-du-pacczo/ </t>
  </si>
  <si>
    <t>ADA</t>
  </si>
  <si>
    <t>ALI OUBARHOU</t>
  </si>
  <si>
    <r>
      <t xml:space="preserve">Number of households </t>
    </r>
    <r>
      <rPr>
        <i/>
        <sz val="8"/>
        <color theme="1"/>
        <rFont val="Calibri"/>
        <family val="2"/>
        <scheme val="minor"/>
      </rPr>
      <t>(total number in the project area)</t>
    </r>
  </si>
  <si>
    <t>Outputs</t>
  </si>
  <si>
    <t>Output 4: Vulnerable development sector services
and infrastructure assets strengthened in response to
climate change impacts, including variability</t>
  </si>
  <si>
    <t>Output 6: Targeted individual and community
livelihood strategies strengthened in relation to
climate change impacts, including variability</t>
  </si>
  <si>
    <t>Output 5: Vulnerable ecosystem services and natural resource assets strengthened in response to climate change impacts, including variability</t>
  </si>
  <si>
    <t>Output 3: Targeted population groups participating in
adaptation and risk reduction awareness activities</t>
  </si>
  <si>
    <t>Output 2: Strengthened capacity of national and subnational centres and networks to respond rapidly to extreme weather events</t>
  </si>
  <si>
    <t>Activities</t>
  </si>
  <si>
    <t>Total of Component 1</t>
  </si>
  <si>
    <t>Total of Component 3</t>
  </si>
  <si>
    <t>Total of Component 2</t>
  </si>
  <si>
    <t>Total of Component 4</t>
  </si>
  <si>
    <t>Total of Component 5</t>
  </si>
  <si>
    <t>Output 4 : Vulnerable developement sector services and infrastructure assets strenthned in response to climate impacts, inculding variability</t>
  </si>
  <si>
    <t>Output 6: targeted individual and community livelihood strategies strenthened in relation to climate change impacts, includin variability</t>
  </si>
  <si>
    <t>Output 5 : Vulnerable developement sector services and infrastructure assets strenthned in response to climate impacts, inculding variability</t>
  </si>
  <si>
    <t>Output 3 : Targeted population groups participating in adaptation and risk reduction awarness activities</t>
  </si>
  <si>
    <t>Output 2 : Strengthened  of national and sub-national centers and networks to respond rapidly to extreme weater events</t>
  </si>
  <si>
    <t>4 structures</t>
  </si>
  <si>
    <t>6 perimeters</t>
  </si>
  <si>
    <t>2 sites</t>
  </si>
  <si>
    <t>200 Ha</t>
  </si>
  <si>
    <t>800 farmers. At least 400 women.</t>
  </si>
  <si>
    <t>At least 5 tourism units</t>
  </si>
  <si>
    <t>20 projects, at least 50% managed by women 2 trainings</t>
  </si>
  <si>
    <t>40 ha</t>
  </si>
  <si>
    <t>400 trained individuals (at least 50% women) with a treatment device installed.</t>
  </si>
  <si>
    <t>2 restored buildings used for a new purpose</t>
  </si>
  <si>
    <t>2 new constructions</t>
  </si>
  <si>
    <t>The existence of a documentation library Study on accessible water resources</t>
  </si>
  <si>
    <t>6 regional thematic conferences</t>
  </si>
  <si>
    <t>4 mass campaigns</t>
  </si>
  <si>
    <t>50 funded awareness projects</t>
  </si>
  <si>
    <t>240 officials 400 oasis beneficiaries, at least 50% women</t>
  </si>
  <si>
    <t>240 public service officials 400 oasis beneficiaries, at least 50% women</t>
  </si>
  <si>
    <t>12 training workshops (20 people/workshop) 50 participants for scientific conferences and beneficiary awareness forums</t>
  </si>
  <si>
    <t>20 workshops, (20 people/workshop) 15 trips (at least 50% women)</t>
  </si>
  <si>
    <t>240 public service officials 400 oasis beneficiaries (at least 50% women)</t>
  </si>
  <si>
    <t>12 workshops on the project cycle (20 people/workshop) 12 workshops on project financing (40 people/workshop) (at least 50% women)</t>
  </si>
  <si>
    <t>12 workshops on the participatory approach (20 people/workshop) 12 workshops in conflict management and mediation (12 people/workshop) (at least 50% women)</t>
  </si>
  <si>
    <t xml:space="preserve">Ccomponent 1. Improving adaptive capacities of the water sector
</t>
  </si>
  <si>
    <t>(1.1) Improved joint regulation of ground and surface water through new sustainable hydraulic and protective structure management</t>
  </si>
  <si>
    <t xml:space="preserve">(1.1.1)  Replenishment structures for groundwater are built
</t>
  </si>
  <si>
    <t>Number of recharge structures</t>
  </si>
  <si>
    <t>In the intervention sites, structures for exclusively recharging groundwater do not exist.</t>
  </si>
  <si>
    <t>(1.1.2)  Structures for perimeters protection are built</t>
  </si>
  <si>
    <t>Number of irrigated perimeters</t>
  </si>
  <si>
    <t>Flooding reduces the rate of floodwater mobilization</t>
  </si>
  <si>
    <t xml:space="preserve">(1.1.3)  Feasibility studies on the exploitation of deep-water resources intended for the dried up palm groves of the Maïder basin are carried out.
</t>
  </si>
  <si>
    <t>Feasibility studies by site</t>
  </si>
  <si>
    <t>No deep borehole is used in the project zone to reduce the shortage of drinkable water</t>
  </si>
  <si>
    <t>(1.2) Vulnerable infrastructure allowing the improvement of water distribution efficiency are restored</t>
  </si>
  <si>
    <t>(1.2.1)  Khettaras are restored</t>
  </si>
  <si>
    <t>Area irrigated (hectares)</t>
  </si>
  <si>
    <t>Khettaras to be restored are identified. According to the 2005 PDRT, the restoration will allow the khettaras to pass from 2 to 5 L/s.</t>
  </si>
  <si>
    <t>(1.2.2)  Seguias are restored</t>
  </si>
  <si>
    <t>SMH networks to be renovated are identified</t>
  </si>
  <si>
    <t>Component 2. Diversifying income sources and improving the living conditions of populations vulnerable to climate change in the targeted areas</t>
  </si>
  <si>
    <t>(2.1) Improved livelihoods of families due to the development of more resilient small scale agriculture</t>
  </si>
  <si>
    <t>(2.1.1) Conservation technics are circulated and adopted</t>
  </si>
  <si>
    <t>Number of trained farmers</t>
  </si>
  <si>
    <t>The project’s target areas have not received significant training</t>
  </si>
  <si>
    <t>(2.1.2)  Oasis agriculture products are developed and promoted</t>
  </si>
  <si>
    <t xml:space="preserve"> Number of products that are certified and are represented in fairs/trade shows</t>
  </si>
  <si>
    <t>Experiments near the project zones have successfully developed attractive local agricultural sectors (argan, saffron, cheese, olive oil, and cactus).</t>
  </si>
  <si>
    <t>(2.2) Developed non-agricultural economic activities help increase the resilience of the Oasis population</t>
  </si>
  <si>
    <t>(2.2.1)  Sustainable and responsible tourism, which faces up to climate change is developed</t>
  </si>
  <si>
    <t>Number of tourism units that develop in a manner adapted to climate change.</t>
  </si>
  <si>
    <t>The potential of responsible tourism is under-valued in the project’s implementation zones (compared to the Dadès and Draa valleys).</t>
  </si>
  <si>
    <t>(2.2.2)  Other economic activities,  particularly for youths and women,  are supported and developed</t>
  </si>
  <si>
    <t>Projects financed Trainings exist</t>
  </si>
  <si>
    <t>The existing VSE support programs do not particularly support innovative adaptation projects.</t>
  </si>
  <si>
    <t>Component 3. Improving the ecosystems’ resilience in response to climate change and variability</t>
  </si>
  <si>
    <t>(3.1) Threats reducing the value of Oasis ecosystems are taken into account by municipalities</t>
  </si>
  <si>
    <t xml:space="preserve">3.1.1 The fight against
desertification is organized
</t>
  </si>
  <si>
    <t>Protected hectares</t>
  </si>
  <si>
    <t>The fight against desertification is already well underway by the Water and Forests Commission, which has however reached a maximum given their current means.</t>
  </si>
  <si>
    <t>3.1.2 Techniques for environmental cleanup are developed</t>
  </si>
  <si>
    <t>Number of stakeholders trained</t>
  </si>
  <si>
    <t>Techniques for cleanup are nearly inexistent in the oasis zones.</t>
  </si>
  <si>
    <t>(3.2) Preserved and Promoted Heritage</t>
  </si>
  <si>
    <t>3.2.1 Historic constructions are restored for new uses</t>
  </si>
  <si>
    <t>Restored and used buildings</t>
  </si>
  <si>
    <t>Restored buildings have a low-valued museum function (empty kasbah)</t>
  </si>
  <si>
    <t>3.2.2 Traditional techniques and materials are reused for new constructions</t>
  </si>
  <si>
    <t>New buildings using traditional materials</t>
  </si>
  <si>
    <t>Currently, only high-end tourism structures use these techniques for new constructions.</t>
  </si>
  <si>
    <t>Component 4. Improving stakeholder awareness though the management and exchange of knowledge</t>
  </si>
  <si>
    <t>(4.1) Organized public debate on water and climate change</t>
  </si>
  <si>
    <t>4.1.1 An assessment of resources in the intermediary Gheris basin and Maider is carried out</t>
  </si>
  <si>
    <t>Access to documentation</t>
  </si>
  <si>
    <t>Several studies and documentation are unavailable</t>
  </si>
  <si>
    <t xml:space="preserve">4.1.2 local council for water dialogue is operational
</t>
  </si>
  <si>
    <t>Number of thematic conferences organized by the Local Council on water</t>
  </si>
  <si>
    <t>Debates on climate change issues remain national and centralized</t>
  </si>
  <si>
    <t>(4.2) Supported and developed local initiatives for communication</t>
  </si>
  <si>
    <t xml:space="preserve">4.2.1 An awareness and communication strategy is developed
</t>
  </si>
  <si>
    <t>Number of mass communication campaigns</t>
  </si>
  <si>
    <t>The project intervention zones have not had any mass communication activities</t>
  </si>
  <si>
    <t>4.2.2 A financing mechanism is implemented</t>
  </si>
  <si>
    <t>Number of funded initiatives for raising the awareness of educated children, emigrants, and tourists</t>
  </si>
  <si>
    <t>The project intervention zones have not had any targeted awareness activities</t>
  </si>
  <si>
    <t>Component 5 Strengthening the capacities of participants in the design and implementation of adaptation measures</t>
  </si>
  <si>
    <t>(5.1) Consolidated and developed adaptive capacities for climate change</t>
  </si>
  <si>
    <t xml:space="preserve">5.1.1 the managers of public service are informed on the issues of climate change and introduced to adaptability measures for the main sectors
</t>
  </si>
  <si>
    <t>Number of training workshops and participants</t>
  </si>
  <si>
    <t>Local and public officials have sectorial knowledge and are not well versed in the multi-sectoral effects of climate change.</t>
  </si>
  <si>
    <t>5.1.2 Oasis beneficiaries are trained on innovative adaptability measures</t>
  </si>
  <si>
    <t>Number of training workshops and travel/internships</t>
  </si>
  <si>
    <t>The oasis beneficiaries are up to date on adaptation techniques and experiments conducted in neighboring countries.</t>
  </si>
  <si>
    <t>(5.2) Strengthened coordinated management capacities for climate change projects</t>
  </si>
  <si>
    <t>5.2.1 The participants (operators and beneficiaries) are trained in the designing and financing of projects</t>
  </si>
  <si>
    <t>Number of training workshops being designed and funding of projects</t>
  </si>
  <si>
    <t>The stakeholders are not aware of financing and monitoring-evaluation mechanisms for adaptation projects</t>
  </si>
  <si>
    <t>5.2.2 : The participants (operators and beneficiaries) are trained on the implementation and joint management of projects.</t>
  </si>
  <si>
    <t>Number of training workshops on the implementation and the coordinated management of projects and the number of participants</t>
  </si>
  <si>
    <t>The stakeholders are not familiar with coordinated management mechanisms</t>
  </si>
  <si>
    <t>1.1.1.4 Ensure the follow-up evaluation in coordination with the HBA</t>
  </si>
  <si>
    <t>1.1.1.5 Establish a maintenance agreement for the groundwater recharges structures.</t>
  </si>
  <si>
    <t>1.1.2.2 : Build priority infrastructure.</t>
  </si>
  <si>
    <t>1.1.2.3 : Establish a maintenance agreement for perimeter protection structures</t>
  </si>
  <si>
    <t>1.2.1.1 Formalize the commitment of the beneficiaries in the restoration of the khettaras</t>
  </si>
  <si>
    <t>1.2.2.1 Formalize the commitment of the beneficiaries in the restoration work</t>
  </si>
  <si>
    <t>1.2.2.2 Carry out the restoration works on the irrigation water distribution networks: irrigation channels</t>
  </si>
  <si>
    <t xml:space="preserve">(1.1.1) 
Replenishment structures for groundwater are built
</t>
  </si>
  <si>
    <r>
      <t xml:space="preserve">1. Improving
adaptive capacities of the
water sector
</t>
    </r>
    <r>
      <rPr>
        <b/>
        <sz val="8"/>
        <color rgb="FFFF0000"/>
        <rFont val="Calibri"/>
        <family val="2"/>
      </rPr>
      <t>/ Outcome 4</t>
    </r>
  </si>
  <si>
    <t>2.1.1.1 Carry out a study on the experiences already undertaken in the zone or in similar zones abroad.</t>
  </si>
  <si>
    <t>2.1.1.2 Train new farmers on the conservation techniques and promote their circulation</t>
  </si>
  <si>
    <t>2.1.2.1 Support the producers in the certification process for their products.</t>
  </si>
  <si>
    <t>2.1.2.2 Promotion of oasis agricultural products.</t>
  </si>
  <si>
    <t>2.1.2.3 Encourage research on endemic species and their uses. usages</t>
  </si>
  <si>
    <t>2.2.1.1: Support the Tourism stakeholders to make the sector more accountable</t>
  </si>
  <si>
    <t>2.2.1.2: Carry out a study on niche tourism products to develop.</t>
  </si>
  <si>
    <t>2.2.2.1: Support small-scale local economic projects</t>
  </si>
  <si>
    <t xml:space="preserve">2.2.2.2: Offer training adapted to the context and needs of the oasis </t>
  </si>
  <si>
    <r>
      <t xml:space="preserve">1.1.3.2 : Carry out feasibility studies to identify priority sites and their financing. </t>
    </r>
    <r>
      <rPr>
        <b/>
        <sz val="8.5"/>
        <color rgb="FF002060"/>
        <rFont val="Calibri"/>
        <family val="2"/>
        <scheme val="minor"/>
      </rPr>
      <t>(Conv ABH)</t>
    </r>
  </si>
  <si>
    <t>3.1.1.1 Carry out a study to identify the priority sites</t>
  </si>
  <si>
    <t>3.1.1.2 Financial support for the Water and Forests Commission man-made and biological efforts</t>
  </si>
  <si>
    <t>3.1.1.3 Populations will be mobilized in the fight against desertification of housing and parcels of land.</t>
  </si>
  <si>
    <t>3.1.2.1 Study the impact of the oasis economic activities</t>
  </si>
  <si>
    <t>3.1.2.2: Train the stakeholders concerned on environmental cleanup techniques</t>
  </si>
  <si>
    <t>3.1.2.3: Support community services, which aim to protect natural resources</t>
  </si>
  <si>
    <t>3.2.1.1: Carry out a study in order to identify the mud brick buildings to restore</t>
  </si>
  <si>
    <t>3.2.1.2: Restore and fix up the buildings with a heritage interest</t>
  </si>
  <si>
    <t>3.2.2.1: Study, bearing in mind town planning, the most pertinent public building to be done in mud brick</t>
  </si>
  <si>
    <t>3.2.2.2: Construct said building</t>
  </si>
  <si>
    <t>4.1.1.1: Implementation of a Documentation library</t>
  </si>
  <si>
    <t>4.1.2.1: Writing of a draft Charter on water and climate change in the Oases</t>
  </si>
  <si>
    <t>4.1.2.2: Organization of conferences on the themes of water and climate change</t>
  </si>
  <si>
    <t>4.2.1.1: Writing of a communication strategy</t>
  </si>
  <si>
    <t>4.2.1.2: « Mass » communication campaign</t>
  </si>
  <si>
    <t>4.2.1.3: Organization of a close out seminar</t>
  </si>
  <si>
    <t>4.2.2.1 Establishing of a list of Partner-organizations for awareness actions</t>
  </si>
  <si>
    <t>4.2.2.2 Management of call for projects on awareness.</t>
  </si>
  <si>
    <r>
      <t xml:space="preserve">4.1.1.2: Strengthening of the monitoring system for water resources in the project zones. </t>
    </r>
    <r>
      <rPr>
        <b/>
        <sz val="8.5"/>
        <color rgb="FF002060"/>
        <rFont val="Calibri"/>
        <family val="2"/>
        <scheme val="minor"/>
      </rPr>
      <t xml:space="preserve">(Conv ABH) </t>
    </r>
  </si>
  <si>
    <t xml:space="preserve">4.2.1 An awareness and
communication strategy is developed
</t>
  </si>
  <si>
    <t>5.1.1.2: Participation in scientific meetings and forums</t>
  </si>
  <si>
    <t>5.1.2.2: Organizing trips and internships</t>
  </si>
  <si>
    <r>
      <t>5.1.1.1: Conduct climate change training modules</t>
    </r>
    <r>
      <rPr>
        <b/>
        <sz val="8.5"/>
        <color rgb="FF000000"/>
        <rFont val="Calibri"/>
        <family val="2"/>
        <scheme val="minor"/>
      </rPr>
      <t xml:space="preserve"> (AO 14/2015)</t>
    </r>
  </si>
  <si>
    <r>
      <t>5.1.2.1: Conduct adaptation training modules</t>
    </r>
    <r>
      <rPr>
        <b/>
        <sz val="8.5"/>
        <color rgb="FF000000"/>
        <rFont val="Calibri"/>
        <family val="2"/>
        <scheme val="minor"/>
      </rPr>
      <t xml:space="preserve"> (AO 14/2015)</t>
    </r>
  </si>
  <si>
    <r>
      <t>5.2.1.1: Conduct modules on the project cycle</t>
    </r>
    <r>
      <rPr>
        <b/>
        <sz val="8.5"/>
        <color rgb="FF000000"/>
        <rFont val="Calibri"/>
        <family val="2"/>
        <scheme val="minor"/>
      </rPr>
      <t xml:space="preserve"> (AO 14/2015)</t>
    </r>
  </si>
  <si>
    <r>
      <t>5.2.1.2: Conduct training modules on project financing</t>
    </r>
    <r>
      <rPr>
        <b/>
        <sz val="8.5"/>
        <color rgb="FF000000"/>
        <rFont val="Calibri"/>
        <family val="2"/>
        <scheme val="minor"/>
      </rPr>
      <t xml:space="preserve"> (AO 14/2015)</t>
    </r>
  </si>
  <si>
    <r>
      <t>5.2.2.1: Conduct training modules on the participatory approach</t>
    </r>
    <r>
      <rPr>
        <b/>
        <sz val="8.5"/>
        <color rgb="FF000000"/>
        <rFont val="Calibri"/>
        <family val="2"/>
        <scheme val="minor"/>
      </rPr>
      <t xml:space="preserve">  (AO 14/2015)</t>
    </r>
  </si>
  <si>
    <r>
      <t>5.2.2.2: Conduct training modules in conflict management and mediation</t>
    </r>
    <r>
      <rPr>
        <b/>
        <sz val="8.5"/>
        <color rgb="FF000000"/>
        <rFont val="Calibri"/>
        <family val="2"/>
        <scheme val="minor"/>
      </rPr>
      <t xml:space="preserve"> (AO 14/2015)</t>
    </r>
  </si>
  <si>
    <r>
      <t xml:space="preserve">5. Strengthening the capacities of participants
in the design and implementation of adaptation measures
 </t>
    </r>
    <r>
      <rPr>
        <b/>
        <sz val="8"/>
        <color rgb="FFFF0000"/>
        <rFont val="Calibri"/>
        <family val="2"/>
      </rPr>
      <t xml:space="preserve"> 
/ Oucome 2</t>
    </r>
  </si>
  <si>
    <r>
      <t xml:space="preserve">4. Improving stakeholder
awareness through the
management and exchange of knowledge
 </t>
    </r>
    <r>
      <rPr>
        <b/>
        <sz val="8"/>
        <color rgb="FFFF0000"/>
        <rFont val="Calibri"/>
        <family val="2"/>
      </rPr>
      <t>/ Oucome 3</t>
    </r>
  </si>
  <si>
    <t>Products</t>
  </si>
  <si>
    <r>
      <t xml:space="preserve">2. Diversifying income
sources and improving
the living conditions of
populations vulnerable
to climate change in the
targeted areas
 </t>
    </r>
    <r>
      <rPr>
        <b/>
        <sz val="8"/>
        <color rgb="FFFF0000"/>
        <rFont val="Calibri"/>
        <family val="2"/>
      </rPr>
      <t>/ Oucome 6</t>
    </r>
  </si>
  <si>
    <r>
      <t xml:space="preserve">3.
Improving the
ecosystems’ resilience in
response to climate
change and variability
 </t>
    </r>
    <r>
      <rPr>
        <b/>
        <sz val="8"/>
        <color rgb="FFFF0000"/>
        <rFont val="Calibri"/>
        <family val="2"/>
      </rPr>
      <t xml:space="preserve"> 
/ Oucome 5</t>
    </r>
  </si>
  <si>
    <t>Compenent / Outcome</t>
  </si>
  <si>
    <t>1.1.1.1 Carry out complementary studies of groundwater recharge structures on the potential sites identified</t>
  </si>
  <si>
    <t>1.1.1.2 Build infrastructure with the greatest potential</t>
  </si>
  <si>
    <t>1.1.1.3 Purchase of the follow-up equipment (piezometers).</t>
  </si>
  <si>
    <t>1.1.2.1 : Carry out complete technical studies of protective infrastructure in the priority sites identified</t>
  </si>
  <si>
    <r>
      <t>1.1.3.1 : Carry out an exploration/reconnaissance study through drilling for deepwater resources.</t>
    </r>
    <r>
      <rPr>
        <b/>
        <sz val="8.5"/>
        <color rgb="FF002060"/>
        <rFont val="Calibri"/>
        <family val="2"/>
        <scheme val="minor"/>
      </rPr>
      <t xml:space="preserve"> </t>
    </r>
  </si>
  <si>
    <t>1.1.3.2 : Carry out feasibility studies to identify priority sites and their financing.</t>
  </si>
  <si>
    <t>1.2.1.2 Lead the works on the restoration of the khettaras</t>
  </si>
  <si>
    <t>4.1.1.2: Strengthening of the monitoring system for water resources in the project zones.</t>
  </si>
  <si>
    <t>5.1.1.1: Conduct climate change training modules</t>
  </si>
  <si>
    <t>5.1.2.1: Conduct adaptation training modules</t>
  </si>
  <si>
    <t>5.2.1.1: Conduct modules on the project cycle</t>
  </si>
  <si>
    <r>
      <t>5.2.1.2: Conduct training modules on project financing</t>
    </r>
    <r>
      <rPr>
        <b/>
        <sz val="8.5"/>
        <color rgb="FF000000"/>
        <rFont val="Calibri"/>
        <family val="2"/>
        <scheme val="minor"/>
      </rPr>
      <t xml:space="preserve"> </t>
    </r>
  </si>
  <si>
    <r>
      <t>5.2.2.1: Conduct training modules on the participatory approach</t>
    </r>
    <r>
      <rPr>
        <b/>
        <sz val="8.5"/>
        <color rgb="FF000000"/>
        <rFont val="Calibri"/>
        <family val="2"/>
        <scheme val="minor"/>
      </rPr>
      <t xml:space="preserve"> </t>
    </r>
  </si>
  <si>
    <t>5.2.2.2: Conduct training modules in conflict management and mediation</t>
  </si>
  <si>
    <t>984 people (640 framrs + 344 public services)</t>
  </si>
  <si>
    <t>PTBA % 
(16+17+18)/ PACCZO</t>
  </si>
  <si>
    <t>PTBA 
Total ($US)</t>
  </si>
  <si>
    <t>PTBA 
Total (MAD)</t>
  </si>
  <si>
    <t>Produits</t>
  </si>
  <si>
    <t>Activités</t>
  </si>
  <si>
    <t>% PTBA
2016 / PACZO</t>
  </si>
  <si>
    <t>Réalis.
2016  (USD)</t>
  </si>
  <si>
    <t>% Réal
2016</t>
  </si>
  <si>
    <t>% PTBA
2017 / PACZO</t>
  </si>
  <si>
    <t>% Réal
2017</t>
  </si>
  <si>
    <t>PTBA 
2018  (MAD)</t>
  </si>
  <si>
    <t>% PTBA
2018</t>
  </si>
  <si>
    <t>Réalis.
2018  (MAD)</t>
  </si>
  <si>
    <t>Réalis.
2018  (USD)</t>
  </si>
  <si>
    <t>% Réal
2018</t>
  </si>
  <si>
    <t>partenaires</t>
  </si>
  <si>
    <t>Couts (US$)</t>
  </si>
  <si>
    <r>
      <t xml:space="preserve">1. Amélioration des capacités d’adaptation du secteur de l’eau 
</t>
    </r>
    <r>
      <rPr>
        <b/>
        <sz val="8"/>
        <color rgb="FFFF0000"/>
        <rFont val="Calibri"/>
        <family val="2"/>
      </rPr>
      <t>/ Outcome 4</t>
    </r>
  </si>
  <si>
    <t>(1.1.1)  Construction des ouvrages de recharge des nappes</t>
  </si>
  <si>
    <t>Replenishment structures for groundwater are built</t>
  </si>
  <si>
    <r>
      <t xml:space="preserve">1.1.1.1 Réaliser les études complémentaires des ouvrages de recharge des nappes dans les sites potentiels identifié </t>
    </r>
    <r>
      <rPr>
        <b/>
        <sz val="8.5"/>
        <color rgb="FF002060"/>
        <rFont val="Calibri"/>
        <family val="2"/>
      </rPr>
      <t>(Conv ABH)</t>
    </r>
  </si>
  <si>
    <r>
      <t xml:space="preserve">1.1.1.2 Construire les ouvrages ayant les potentialités les plus élevées </t>
    </r>
    <r>
      <rPr>
        <b/>
        <sz val="8.5"/>
        <color rgb="FF002060"/>
        <rFont val="Calibri"/>
        <family val="2"/>
      </rPr>
      <t>(Conv ABH) + ABH</t>
    </r>
  </si>
  <si>
    <r>
      <t xml:space="preserve">1.1.1.3 Acquérir les équipements de suivi (piézomètres) - </t>
    </r>
    <r>
      <rPr>
        <b/>
        <sz val="8.5"/>
        <color rgb="FF002060"/>
        <rFont val="Calibri"/>
        <family val="2"/>
      </rPr>
      <t>(Conv ABH) + ABH-2017</t>
    </r>
  </si>
  <si>
    <t xml:space="preserve">1.1.1.4 Assurer le suivi évaluation. </t>
  </si>
  <si>
    <t>pm</t>
  </si>
  <si>
    <t xml:space="preserve">1.1.1.5 Établir une convention d'entretien et de maintenance des ouvrages de recharge des nappes. </t>
  </si>
  <si>
    <t>(1.1.2)  Construction des ouvrages de protection des périmètres</t>
  </si>
  <si>
    <t>Structures for perimeters protection are built</t>
  </si>
  <si>
    <r>
      <t xml:space="preserve">1.1.2.1 : Réaliser les études techniques complètes des ouvrages de protection dans les sites prioritaires identifiés </t>
    </r>
    <r>
      <rPr>
        <b/>
        <sz val="8.5"/>
        <color rgb="FF00B050"/>
        <rFont val="Calibri"/>
        <family val="2"/>
      </rPr>
      <t>(Conv ORMVAO) + ORMVAT+ORMVAO-2017</t>
    </r>
  </si>
  <si>
    <r>
      <t xml:space="preserve">1.1.2.2 : Construire les ouvrages prioritaires </t>
    </r>
    <r>
      <rPr>
        <b/>
        <sz val="8.5"/>
        <color rgb="FFFF0000"/>
        <rFont val="Calibri"/>
        <family val="2"/>
      </rPr>
      <t>( Conv ORMVAO) + ORMVAT+O</t>
    </r>
  </si>
  <si>
    <t xml:space="preserve">1.1.2.3 : Établir une convention d'entretien et de maintenance des ouvrages de protection des périmètres </t>
  </si>
  <si>
    <t>(1.1.3) Réalisation des études de faisabilité pour l'exploitation des ressources en eau profonde (palmeraies asséchées/Maïder)</t>
  </si>
  <si>
    <t>Feasibility studies on the exploitation of deepwater
resources intended for the dried up palm
groves of the Maïder basin are carried out.</t>
  </si>
  <si>
    <r>
      <t xml:space="preserve">1.1.3.1 : Réaliser une étude d'exploration/reconnaissance par forage des ressources en eau profonde </t>
    </r>
    <r>
      <rPr>
        <b/>
        <sz val="8.5"/>
        <color rgb="FF002060"/>
        <rFont val="Calibri"/>
        <family val="2"/>
      </rPr>
      <t>(Conv ABH) + ABH-2017</t>
    </r>
  </si>
  <si>
    <r>
      <t>1.1.3.2 : Réaliser les études de faisabilité pour l'identification des sites prioritaires et le montage financier</t>
    </r>
    <r>
      <rPr>
        <b/>
        <sz val="8.5"/>
        <color rgb="FF002060"/>
        <rFont val="Calibri"/>
        <family val="2"/>
      </rPr>
      <t xml:space="preserve"> (Conv ABH) + ABH-2017</t>
    </r>
  </si>
  <si>
    <t>(1.2.1) Réhabilitation des khettaras</t>
  </si>
  <si>
    <t>Khettaras are restored</t>
  </si>
  <si>
    <t xml:space="preserve">1.2.1.1 Formaliser l’engagement des bénéficiaires dans l’opération de réhabilitation </t>
  </si>
  <si>
    <r>
      <t xml:space="preserve">1.2.1.2 Mener les travaux de réhabilitation des khettaras  </t>
    </r>
    <r>
      <rPr>
        <b/>
        <sz val="8.5"/>
        <color rgb="FF00B050"/>
        <rFont val="Calibri"/>
        <family val="2"/>
      </rPr>
      <t xml:space="preserve">(Conv ORMVAO) +  </t>
    </r>
    <r>
      <rPr>
        <b/>
        <sz val="8.5"/>
        <color rgb="FFFF0000"/>
        <rFont val="Calibri"/>
        <family val="2"/>
      </rPr>
      <t>(Conv ORMVAT) + ORMVAT+O-2017</t>
    </r>
  </si>
  <si>
    <t>(1.2.2) Réhabilitation des séguias</t>
  </si>
  <si>
    <t>Seguias are restored</t>
  </si>
  <si>
    <t>1.2.2.1 Formaliser l’engagement des bénéficiaires dans l’opération de réhabilitation </t>
  </si>
  <si>
    <r>
      <t xml:space="preserve">1.2.2.2 Réaliser les travaux de réhabilitation des réseaux de distribution des eaux d’irrigation </t>
    </r>
    <r>
      <rPr>
        <sz val="8.5"/>
        <color rgb="FFFF0000"/>
        <rFont val="Calibri"/>
        <family val="2"/>
      </rPr>
      <t xml:space="preserve"> </t>
    </r>
    <r>
      <rPr>
        <b/>
        <sz val="8.5"/>
        <color rgb="FFFF0000"/>
        <rFont val="Calibri"/>
        <family val="2"/>
      </rPr>
      <t>(Conv ORMVAT)+ ORMVAT+O</t>
    </r>
  </si>
  <si>
    <t>Total de la composante 1</t>
  </si>
  <si>
    <r>
      <t xml:space="preserve">2. Diversification des sources de revenus et amélioration des conditions de vie des populations vulnérables au changement climatique dans les zones cibles </t>
    </r>
    <r>
      <rPr>
        <b/>
        <sz val="8"/>
        <color rgb="FFFF0000"/>
        <rFont val="Calibri"/>
        <family val="2"/>
      </rPr>
      <t>/ Oucome 6</t>
    </r>
  </si>
  <si>
    <t>(2.1.1) Diffusion et adoption des techniques conservatoires</t>
  </si>
  <si>
    <t xml:space="preserve">2.1.1.1 Réaliser une étude sur les expériences déjà menées dans la zone ou dans des zones similaires à l’international. </t>
  </si>
  <si>
    <t>2.1.1.2 Former de nouveaux agriculteurs aux techniques conservatoires et favoriser leur diffusion</t>
  </si>
  <si>
    <t>(2.1.2) Développement et valorisation des produits agricoles oasiens.</t>
  </si>
  <si>
    <r>
      <t xml:space="preserve">2.1.2.1 Accompagner les producteurs dans le processus de certification de leurs produits.  </t>
    </r>
    <r>
      <rPr>
        <b/>
        <sz val="8.5"/>
        <color rgb="FF000000"/>
        <rFont val="Calibri"/>
        <family val="2"/>
      </rPr>
      <t xml:space="preserve">(Conv ORMVAT + ORMVAO) </t>
    </r>
  </si>
  <si>
    <t>2.1.2.2 Promouvoir les produits agricoles des oasis.</t>
  </si>
  <si>
    <t>2.1.2.3 Encourager la recherche sur les espèces endémiques et leurs usages</t>
  </si>
  <si>
    <t>(2.2.1) Développement du tourisme durable et responsable face à l’impact du CC</t>
  </si>
  <si>
    <t>2.2.1.1 : Soutenir les acteurs du secteur touristique dans la responsabilisation de l’activité.</t>
  </si>
  <si>
    <t>2.2.1.2 : Réaliser une étude sur les produits touristiques de niche à développer</t>
  </si>
  <si>
    <t>(2.2.2) Développement et soutien des activités économiques (les jeunes adultes et les femmes)</t>
  </si>
  <si>
    <r>
      <t xml:space="preserve">2.2.2.1 : Soutenir les petits projets économiques locaux </t>
    </r>
    <r>
      <rPr>
        <b/>
        <sz val="8.5"/>
        <color rgb="FF002060"/>
        <rFont val="Calibri"/>
        <family val="2"/>
      </rPr>
      <t>(Appels aux projets)</t>
    </r>
  </si>
  <si>
    <t xml:space="preserve">2.2.2.2 : Proposer des formations adaptées au contexte et aux besoins des oasis. </t>
  </si>
  <si>
    <t>Total de la composante 2</t>
  </si>
  <si>
    <r>
      <t xml:space="preserve">3. Amélioration de la résilience des écosystèmes en réponse au changement climatique et à la variabilité </t>
    </r>
    <r>
      <rPr>
        <b/>
        <sz val="8"/>
        <color rgb="FFFF0000"/>
        <rFont val="Calibri"/>
        <family val="2"/>
      </rPr>
      <t xml:space="preserve"> 
/ Oucome 5</t>
    </r>
  </si>
  <si>
    <t>3.1.1 Organisation de lutte contre l’ensablement</t>
  </si>
  <si>
    <t xml:space="preserve">3.1.1.1 Réaliser une étude d’identification des sites prioritaires. </t>
  </si>
  <si>
    <r>
      <t xml:space="preserve">3.1.1.2 Soutenir financièrement l’action de lutte mécanique et biologique des Eaux et Forêts </t>
    </r>
    <r>
      <rPr>
        <b/>
        <sz val="8.5"/>
        <color rgb="FF000000"/>
        <rFont val="Calibri"/>
        <family val="2"/>
      </rPr>
      <t>(ORMVAT )</t>
    </r>
  </si>
  <si>
    <t xml:space="preserve">3.1.1.3 Mobiliser les populations pour la lutte contre l’ensablement des habitats et des parcelles. </t>
  </si>
  <si>
    <t>3.1.2 Développement des techniques de dépollution</t>
  </si>
  <si>
    <t>3.1.2.1 Étudier les impacts des activités économiques des oasis</t>
  </si>
  <si>
    <t xml:space="preserve">3.1.2.2 : Former les acteurs concernés aux techniques de dépollution. </t>
  </si>
  <si>
    <t xml:space="preserve">3.1.2.3 : Soutenir les services communautaires visant à protéger les ressources naturelles. </t>
  </si>
  <si>
    <t>3.2.1 Réhabilitation des anciennes constructions sont réhabilitées pour une nouvelle utilisation</t>
  </si>
  <si>
    <t>3.2.1.1 : Réaliser une étude afin d’identifier les constructions à réhabiliter.</t>
  </si>
  <si>
    <t>3.2.1.2 : Réhabiliter et aménager les constructions identifiées.</t>
  </si>
  <si>
    <t>3.2.2  Réutilisation des techniques et des matériaux traditionnels pour de nouvelles constructions</t>
  </si>
  <si>
    <t xml:space="preserve">3.2.2.1 : Etudier d’un point de vue de l’urbanisme la construction publique la plus pertinente à construire en pisé. </t>
  </si>
  <si>
    <t>3.2.2.2 : Construire le dit bâtiment.</t>
  </si>
  <si>
    <t>Total de la composante 3</t>
  </si>
  <si>
    <r>
      <t xml:space="preserve">4. Amélioration de la prise de conscience de tous les acteurs par la gestion et le partage des connaissances
 </t>
    </r>
    <r>
      <rPr>
        <b/>
        <sz val="8"/>
        <color rgb="FFFF0000"/>
        <rFont val="Calibri"/>
        <family val="2"/>
      </rPr>
      <t>/ Oucome 3</t>
    </r>
  </si>
  <si>
    <t>4.1.1 Réalisation d’un bilan des ressources en eau dans le sbassins (Gheris &amp; Maïder)</t>
  </si>
  <si>
    <t>4.1.1.1 : Mise en place d’un Fonds Documentaire</t>
  </si>
  <si>
    <r>
      <t xml:space="preserve">4.1.1.2 : Renforcement du système de suivi des ressources en eau dans les zones du projet </t>
    </r>
    <r>
      <rPr>
        <b/>
        <sz val="8.5"/>
        <color rgb="FF002060"/>
        <rFont val="Calibri"/>
        <family val="2"/>
      </rPr>
      <t>(Conv ABH)</t>
    </r>
  </si>
  <si>
    <t>4.1.2 Opérationnalisation du Conseil local de dialogue sur l'eau</t>
  </si>
  <si>
    <t>4.1.2.1 : Elaboration d’un projet de charte sur l’eau et le changement climatique en milieu oasien</t>
  </si>
  <si>
    <t>4.1.2.2 : Organisation des conférences thématiques</t>
  </si>
  <si>
    <t>4.2.1 Définition d’une stratégie de sensibilisation et de communication</t>
  </si>
  <si>
    <t>4.2.1.1 : Elaboration d’une stratégie de communication</t>
  </si>
  <si>
    <t xml:space="preserve">4.2.1.2 : Campagne de communication </t>
  </si>
  <si>
    <t>4.2.1.3 : Organisation du séminaire de clôture</t>
  </si>
  <si>
    <t>4.2.2 Mise en place d’un mécanisme de financement</t>
  </si>
  <si>
    <t>4.2.2.1 Etablissement de la liste des organisations partenaires des actions de sensibilisation</t>
  </si>
  <si>
    <t>4.2.2.2 Gestion des appels à projets de sensibilisation</t>
  </si>
  <si>
    <t>Total de la composante 4</t>
  </si>
  <si>
    <r>
      <t xml:space="preserve">5. Renforcement des capacités des participants à la conception et mise en œuvre des mesures d’adaptation </t>
    </r>
    <r>
      <rPr>
        <b/>
        <sz val="8"/>
        <color rgb="FFFF0000"/>
        <rFont val="Calibri"/>
        <family val="2"/>
      </rPr>
      <t xml:space="preserve"> 
/ Oucome 2</t>
    </r>
  </si>
  <si>
    <t>5.1.1.2 : Participation aux rencontres scientifiques et aux forums de sensibilisation</t>
  </si>
  <si>
    <r>
      <t>5.1.1.1 : Réalisation de modules de formation relatifs au changement climatique</t>
    </r>
    <r>
      <rPr>
        <b/>
        <sz val="8.5"/>
        <color theme="5" tint="-0.249977111117893"/>
        <rFont val="Calibri"/>
        <family val="2"/>
      </rPr>
      <t xml:space="preserve"> </t>
    </r>
  </si>
  <si>
    <t>5.1.2 Formation des bénéficiaires oasiens aux MA innovantes</t>
  </si>
  <si>
    <r>
      <t>5.1.2.1 : Réalisation de modules de formation relatifs à l’adaptation</t>
    </r>
    <r>
      <rPr>
        <b/>
        <sz val="8.5"/>
        <color theme="5" tint="-0.249977111117893"/>
        <rFont val="Calibri"/>
        <family val="2"/>
      </rPr>
      <t xml:space="preserve"> </t>
    </r>
  </si>
  <si>
    <t xml:space="preserve">5.1.2.2 : Organisation de voyages et de stages d’étude </t>
  </si>
  <si>
    <t>5.2.1 Formation des participants en conception et financement des projets</t>
  </si>
  <si>
    <t>5.2.1.1 : Réalisation de modules de formation en cycle du projet</t>
  </si>
  <si>
    <t>5.2.1.2 : Réalisation de modules de formation en financement des projets</t>
  </si>
  <si>
    <t>5.2.2 : Formation des participants en mise en œuvre et en gestion concertée des projets</t>
  </si>
  <si>
    <r>
      <t xml:space="preserve">5.2.2.1 : Réalisation de modules de formation à l’approche participative appliquée aux mesures d’adaptation </t>
    </r>
    <r>
      <rPr>
        <b/>
        <sz val="8.5"/>
        <color theme="5" tint="-0.249977111117893"/>
        <rFont val="Calibri"/>
        <family val="2"/>
      </rPr>
      <t xml:space="preserve"> </t>
    </r>
  </si>
  <si>
    <t xml:space="preserve">5.2.2.2 : Réalisation de modules de formation en gestion des conflits et médiation </t>
  </si>
  <si>
    <t>Total de la composante 5</t>
  </si>
  <si>
    <t>AT ABH</t>
  </si>
  <si>
    <t>AT ORMVAO</t>
  </si>
  <si>
    <t>AT ORMVAT</t>
  </si>
  <si>
    <t>AT PACCZO</t>
  </si>
  <si>
    <t>PGES</t>
  </si>
  <si>
    <t>Total Investissement</t>
  </si>
  <si>
    <t>Staff</t>
  </si>
  <si>
    <t>Frais de déplacement</t>
  </si>
  <si>
    <t>Frais de transport  + carburant</t>
  </si>
  <si>
    <t>Restauration et hébergeent (Atelier de démarrage)</t>
  </si>
  <si>
    <t>Equipement :  Vehicules</t>
  </si>
  <si>
    <t>Equipement : Matériel info + Photoc. + Fourniture de bureau</t>
  </si>
  <si>
    <t>Fourniture de communication</t>
  </si>
  <si>
    <t>Suivi et évaluation / Montoring-Evaluation</t>
  </si>
  <si>
    <t>Charges d'exécution</t>
  </si>
  <si>
    <t>Monitoring and evaluation</t>
  </si>
  <si>
    <t>Equipment and materials</t>
  </si>
  <si>
    <t>Audit</t>
  </si>
  <si>
    <t>Skill building</t>
  </si>
  <si>
    <t xml:space="preserve">Charges de mise en œuvre </t>
  </si>
  <si>
    <t xml:space="preserve">Total Général : </t>
  </si>
  <si>
    <t>1.1.3.1 : Carry out an exploration/reconnaissance study through drilling for deepwater resources.</t>
  </si>
  <si>
    <t>PTBA 
2017 (USD)</t>
  </si>
  <si>
    <t>PTBA 
2016 (USD)</t>
  </si>
  <si>
    <t>PTBA 
2016 (MAD)</t>
  </si>
  <si>
    <t>Réalis.
2016 (MAD)</t>
  </si>
  <si>
    <r>
      <t>Estimated cumulative total disbursement as of</t>
    </r>
    <r>
      <rPr>
        <b/>
        <sz val="10"/>
        <color indexed="10"/>
        <rFont val="Times New Roman"/>
        <family val="1"/>
      </rPr>
      <t xml:space="preserve"> [Dec-31-2017]</t>
    </r>
  </si>
  <si>
    <t>PTBA 
2017 (MAD)</t>
  </si>
  <si>
    <t>Réalis.
2017 (MAD)</t>
  </si>
  <si>
    <t>Réalis.
2017 (USD)</t>
  </si>
  <si>
    <t>PTBA 
2018 (USD)</t>
  </si>
  <si>
    <t>12 months</t>
  </si>
  <si>
    <t>Mr Ali OUBRHOU</t>
  </si>
  <si>
    <r>
      <t xml:space="preserve">List outputs planned and corresponding projected cost for the upcoming </t>
    </r>
    <r>
      <rPr>
        <b/>
        <sz val="11"/>
        <color rgb="FFFF0000"/>
        <rFont val="Times New Roman"/>
        <family val="1"/>
      </rPr>
      <t>(2018)</t>
    </r>
    <r>
      <rPr>
        <b/>
        <sz val="11"/>
        <color indexed="8"/>
        <rFont val="Times New Roman"/>
        <family val="1"/>
      </rPr>
      <t xml:space="preserve"> reporting period</t>
    </r>
  </si>
  <si>
    <t>C1</t>
  </si>
  <si>
    <t>C3</t>
  </si>
  <si>
    <t>C4</t>
  </si>
  <si>
    <t>* The PACCZO Project has created a synergy and complementarity between institutional organizations responsible for the territorial development of fragile and vulnerable ecosystems.
* The commitment of professional organizations (beneficiaries) especially in the maintenance of irrigation structures which is inevitably a guarantee of sustainability of achievements.</t>
  </si>
  <si>
    <t xml:space="preserve">* Women showed great interest toward project's objectives. 
* Women were present during all the training sessions. 
* More than 50% of the projects proposed for funding were reserved for vulnerable social categories (women and young) which allowed creation of jobs in rural areas and a significant complementary income.
* Projects proposed for funding (to improve sources of income) all include women.
</t>
  </si>
  <si>
    <t>C1+C2</t>
  </si>
  <si>
    <t>C1+C2+C3</t>
  </si>
  <si>
    <t xml:space="preserve"> Convention</t>
  </si>
  <si>
    <t>C2 + C3</t>
  </si>
  <si>
    <t xml:space="preserve"> Contribution aux projets de partenariat
(A2.2.2.1 + A 3.1.2.3)</t>
  </si>
  <si>
    <r>
      <t>Financial information:  cumulative from project start to [</t>
    </r>
    <r>
      <rPr>
        <b/>
        <sz val="14"/>
        <color rgb="FFC00000"/>
        <rFont val="Times New Roman"/>
        <family val="1"/>
      </rPr>
      <t>Jun-30-2018</t>
    </r>
    <r>
      <rPr>
        <b/>
        <sz val="14"/>
        <rFont val="Times New Roman"/>
        <family val="1"/>
      </rPr>
      <t>]</t>
    </r>
  </si>
  <si>
    <r>
      <t xml:space="preserve">* Delay in large-value payment (agreement with partners)
</t>
    </r>
    <r>
      <rPr>
        <u/>
        <sz val="11"/>
        <rFont val="Times New Roman"/>
        <family val="1"/>
      </rPr>
      <t>Measures</t>
    </r>
    <r>
      <rPr>
        <sz val="11"/>
        <rFont val="Times New Roman"/>
        <family val="1"/>
      </rPr>
      <t xml:space="preserve"> : Intervention direcet at paymasters
* Delays in Activity A1.1.1.1 : Carry out complementary studies of groundwater recharge structures on the potential sites identified. Reason : The scarcity of the providers making prospection of the deep waters (more than 800 meters). Tenders were tree times unsuccessful.
</t>
    </r>
    <r>
      <rPr>
        <u/>
        <sz val="11"/>
        <rFont val="Times New Roman"/>
        <family val="1"/>
      </rPr>
      <t>Mesures</t>
    </r>
    <r>
      <rPr>
        <sz val="11"/>
        <rFont val="Times New Roman"/>
        <family val="1"/>
      </rPr>
      <t xml:space="preserve"> : Redeployment of funds in groundwater recharge activities to achieve the same result.</t>
    </r>
  </si>
  <si>
    <t xml:space="preserve"> </t>
  </si>
  <si>
    <t>21 units</t>
  </si>
  <si>
    <t xml:space="preserve">firadienvironnement@gmail.com </t>
  </si>
  <si>
    <t xml:space="preserve">Mr Rachid Firadi </t>
  </si>
  <si>
    <t>State : Medium
Both NIE and EE intervened to the Paymaster to accelerate payments</t>
  </si>
  <si>
    <r>
      <t>Estimated cumulative total disbursement as of</t>
    </r>
    <r>
      <rPr>
        <b/>
        <sz val="10"/>
        <color indexed="10"/>
        <rFont val="Times New Roman"/>
        <family val="1"/>
      </rPr>
      <t xml:space="preserve"> [Jun-30-2018]</t>
    </r>
  </si>
  <si>
    <t>Level: Moderate ;  
State : Low</t>
  </si>
  <si>
    <t>Level: Moderate to substantial  
State : Medium</t>
  </si>
  <si>
    <t>Level: Moderate ;  
State : No longer relevant</t>
  </si>
  <si>
    <t>Level: Moderate
State : Medium</t>
  </si>
  <si>
    <r>
      <t xml:space="preserve">13 workshops (790 people - </t>
    </r>
    <r>
      <rPr>
        <b/>
        <sz val="9"/>
        <color rgb="FFC00000"/>
        <rFont val="Times New Roman"/>
        <family val="1"/>
      </rPr>
      <t>14% women</t>
    </r>
    <r>
      <rPr>
        <sz val="9"/>
        <color indexed="8"/>
        <rFont val="Times New Roman"/>
        <family val="1"/>
      </rPr>
      <t>)</t>
    </r>
  </si>
  <si>
    <r>
      <t xml:space="preserve">13 workshops (772 people - </t>
    </r>
    <r>
      <rPr>
        <b/>
        <sz val="9"/>
        <color rgb="FFC00000"/>
        <rFont val="Times New Roman"/>
        <family val="1"/>
      </rPr>
      <t>15% women</t>
    </r>
    <r>
      <rPr>
        <sz val="9"/>
        <color indexed="8"/>
        <rFont val="Times New Roman"/>
        <family val="1"/>
      </rPr>
      <t>)</t>
    </r>
  </si>
  <si>
    <t>AMOUNT
$US</t>
  </si>
  <si>
    <t>Durée en mois</t>
  </si>
  <si>
    <t>10 months</t>
  </si>
  <si>
    <t>4 months</t>
  </si>
  <si>
    <t>06 months</t>
  </si>
  <si>
    <t>03 months</t>
  </si>
  <si>
    <t>Convention - ABH GZR</t>
  </si>
  <si>
    <t>Convention - ORMVAO</t>
  </si>
  <si>
    <t>Convention - ORMVAT</t>
  </si>
  <si>
    <t>Convention - IAV</t>
  </si>
  <si>
    <t>Total au 31/12/2017 ( - AT ) en MAD</t>
  </si>
  <si>
    <t>Total au 31/12/2017 en MAD</t>
  </si>
  <si>
    <t>Total au 31/12/2017 ( - AT ) en USD</t>
  </si>
  <si>
    <t>5.2.1.2: Conduct training modules on project financing</t>
  </si>
  <si>
    <t>5.2.2.1: Conduct training modules on the participatory approach</t>
  </si>
  <si>
    <r>
      <t>Estimated cumulative total disbursement as of</t>
    </r>
    <r>
      <rPr>
        <b/>
        <sz val="10"/>
        <color indexed="10"/>
        <rFont val="Times New Roman"/>
        <family val="1"/>
      </rPr>
      <t xml:space="preserve"> [Dec-31-2019]</t>
    </r>
  </si>
  <si>
    <r>
      <t>Estimated cumulative total disbursement as of</t>
    </r>
    <r>
      <rPr>
        <b/>
        <sz val="10"/>
        <color indexed="10"/>
        <rFont val="Times New Roman"/>
        <family val="1"/>
      </rPr>
      <t xml:space="preserve"> [Mar-31-2020]</t>
    </r>
  </si>
  <si>
    <r>
      <t>Financial information:  cumulative from project start to [</t>
    </r>
    <r>
      <rPr>
        <b/>
        <sz val="14"/>
        <color rgb="FFC00000"/>
        <rFont val="Times New Roman"/>
        <family val="1"/>
      </rPr>
      <t>Dec-31-2019</t>
    </r>
    <r>
      <rPr>
        <b/>
        <sz val="14"/>
        <rFont val="Times New Roman"/>
        <family val="1"/>
      </rPr>
      <t>]</t>
    </r>
  </si>
  <si>
    <t>2016 - PTBA1</t>
  </si>
  <si>
    <t>2017 - PTBA2</t>
  </si>
  <si>
    <t>2019 - PTBA3</t>
  </si>
  <si>
    <t>Contrats</t>
  </si>
  <si>
    <t>Paiements 
2018</t>
  </si>
  <si>
    <t>Paiements 
2019</t>
  </si>
  <si>
    <t>Paiements 
2020</t>
  </si>
  <si>
    <t>Repport de 2018</t>
  </si>
  <si>
    <t>Reste 
à payer</t>
  </si>
  <si>
    <t>Montants</t>
  </si>
  <si>
    <t xml:space="preserve">Conventions / 24 projets </t>
  </si>
  <si>
    <r>
      <t xml:space="preserve">2.1.2.2 Promouvoir les produits agricoles des oasis </t>
    </r>
    <r>
      <rPr>
        <b/>
        <sz val="9"/>
        <rFont val="Calibri"/>
        <family val="2"/>
      </rPr>
      <t>(Ste FOOD AGRO)</t>
    </r>
  </si>
  <si>
    <t>M 16/2019</t>
  </si>
  <si>
    <r>
      <t>4.1.1.1 : Mise en place d’un Fonds Documentaire</t>
    </r>
    <r>
      <rPr>
        <b/>
        <sz val="9"/>
        <rFont val="Calibri"/>
        <family val="2"/>
      </rPr>
      <t xml:space="preserve"> (ANZAR)</t>
    </r>
  </si>
  <si>
    <t>M 21/2019</t>
  </si>
  <si>
    <r>
      <t>4.2.2.2 Gestion des appels à projets de sensibilisation</t>
    </r>
    <r>
      <rPr>
        <b/>
        <sz val="9"/>
        <rFont val="Calibri"/>
        <family val="2"/>
      </rPr>
      <t xml:space="preserve"> (EDIC)</t>
    </r>
  </si>
  <si>
    <t>M 20/2019</t>
  </si>
  <si>
    <t>C4 + C5</t>
  </si>
  <si>
    <t>M 18/2019 (MONDE CON)</t>
  </si>
  <si>
    <t>M 17/2019 (VULGARISM)</t>
  </si>
  <si>
    <t>M 19/2019 (MONDE CON)</t>
  </si>
  <si>
    <t>M 15/2019 (TTOBA)</t>
  </si>
  <si>
    <t>M 14/2019 SIPAMA</t>
  </si>
  <si>
    <t>BC 23/2019 Nigovert</t>
  </si>
  <si>
    <t>Frais de transport</t>
  </si>
  <si>
    <t>Situation des engagements des crédits « Exécution du projet » au 31-dec-2019</t>
  </si>
  <si>
    <r>
      <t xml:space="preserve">List outputs planned and corresponding projected cost for the upcoming </t>
    </r>
    <r>
      <rPr>
        <b/>
        <sz val="11"/>
        <color rgb="FFFF0000"/>
        <rFont val="Times New Roman"/>
        <family val="1"/>
      </rPr>
      <t>(2020-2021)</t>
    </r>
    <r>
      <rPr>
        <b/>
        <sz val="11"/>
        <color indexed="8"/>
        <rFont val="Times New Roman"/>
        <family val="1"/>
      </rPr>
      <t xml:space="preserve"> reporting period</t>
    </r>
  </si>
  <si>
    <t>PTBA-1 (2016)</t>
  </si>
  <si>
    <t>PTBA-2 (2017)</t>
  </si>
  <si>
    <t>PTBA 3 (2018-2019)</t>
  </si>
  <si>
    <t>Résultats</t>
  </si>
  <si>
    <t>4.2</t>
  </si>
  <si>
    <t>1.1 La régulation conjointe des eaux souterraines et superficielles est améliorée grace à de nouveaux aménagements durables d'ouvrages hydrauliques et de protection</t>
  </si>
  <si>
    <t>1.2 Les ouvrages vulnirales permettant d'améliorer l'efficience de distribution de l'eau sont réhabilités</t>
  </si>
  <si>
    <t>2.1 Les moyens d'existence des familles sont améliorés grace au développement d'une petite agriculture oasienne résiliente</t>
  </si>
  <si>
    <t>2.2 Des activités économiques non agricoles sont développés afin d'acroitre la résilience de la population oasienne</t>
  </si>
  <si>
    <t>3.1 Les menaces réduisant la valeur des écosystèmes oasiens sont prises en compte par les communes</t>
  </si>
  <si>
    <t>3.2 Le patrimoine est préservé et valorisé</t>
  </si>
  <si>
    <t>4.1 Le débat public sur l'eau et le CC est organisé</t>
  </si>
  <si>
    <t>5.1 Les capacité d'adaptation au CC sont consolidées et développées</t>
  </si>
  <si>
    <t>5.2 Les capacitées en gestion concertées de projets de CC sont renforcées</t>
  </si>
  <si>
    <t>3.2.3 des accès et des espaces d’interprétation sont réhabilités pour une meilleure accessibilité et attractivité des palmeraies</t>
  </si>
  <si>
    <t>3.2.3.1 : Aménager des accès et pistes au sein des palmeraies (réhabilitation, éclairage solaire…) y compris assistance technique.</t>
  </si>
  <si>
    <t>3.2.3.2 : Aménager des espaces d’interprétations touristiques.</t>
  </si>
  <si>
    <t>3.2.4 des points d’eau et des équipements sont acquis pour une meilleure intervention contre les incendies</t>
  </si>
  <si>
    <t xml:space="preserve">3.2.4.1 : Aménager des points d’eau pour la lutte contre les incendies. </t>
  </si>
  <si>
    <t>3.2.4.2 : Acquérir de matériels de lutte contre les incendies</t>
  </si>
  <si>
    <t>1.1 Improved joint regulation of
ground and surface water
through new sustainable
hydraulic and protective
structure management</t>
  </si>
  <si>
    <t>Expected Outcomes</t>
  </si>
  <si>
    <t>1.2 Vulnerable infrastructure
allowing the improvement of
water distribution efficiency are
restored</t>
  </si>
  <si>
    <t>2.1 Improved livelihoods of
families due to the development
of more resilient small scale
agriculture</t>
  </si>
  <si>
    <t>2.2 Developed non-agricultural
economic activities help increase
the resilience of the Oasis
population</t>
  </si>
  <si>
    <t>3.1 Threats reducing the value of
Oasis ecosystems are taken into
account by municipalities</t>
  </si>
  <si>
    <t>3.2. Preserved and Promoted
Heritage</t>
  </si>
  <si>
    <t>4.1 Organized public debate on
water and climate change</t>
  </si>
  <si>
    <t>4.2. Supported and developed
local initiatives for
communication</t>
  </si>
  <si>
    <t>5.1 Consolidated and developed
adaptive capacities for climate
change</t>
  </si>
  <si>
    <t>5.2 Strengthened coordinated
management capacities for
climate change projects</t>
  </si>
  <si>
    <t>PTBA 4 (2020-2021)</t>
  </si>
  <si>
    <t>S1</t>
  </si>
  <si>
    <t>S2</t>
  </si>
  <si>
    <t>3.2.4.2 : Acquire fire fighting equipment</t>
  </si>
  <si>
    <t>3.2.3 Access and interpretation spaces are rehabilitated for better accessibility and attractiveness of palm groves</t>
  </si>
  <si>
    <t>3.2.4 Water points and equipment are acquired for a better response to fires</t>
  </si>
  <si>
    <t>3.2.3.1 : Fix up access and tracks in palm groves (rehabilitation, solar lighting, etc.) including technical assistance.</t>
  </si>
  <si>
    <t>3.2.3.2 : Fix up spaces for tourist interpretations.</t>
  </si>
  <si>
    <t>3.2.4.1 : Fix up water's points for fire fighting</t>
  </si>
  <si>
    <t>7 achieved</t>
  </si>
  <si>
    <t xml:space="preserve">6 perimeters </t>
  </si>
  <si>
    <t>4 Feasability studies (2 Sites)</t>
  </si>
  <si>
    <t>200 ha (23 Khettaras restored : 4414 linear meter)</t>
  </si>
  <si>
    <t>200 ha (18 SMH networks renovated : 6096 linear meter)</t>
  </si>
  <si>
    <r>
      <t>616 farmers</t>
    </r>
    <r>
      <rPr>
        <sz val="9"/>
        <color theme="5"/>
        <rFont val="Times New Roman"/>
        <family val="1"/>
      </rPr>
      <t xml:space="preserve"> (women : 19%)
</t>
    </r>
    <r>
      <rPr>
        <sz val="9"/>
        <rFont val="Times New Roman"/>
        <family val="1"/>
      </rPr>
      <t>(32 good practices and agro-ecological and conservation studies presented in the form of technical sheets)</t>
    </r>
  </si>
  <si>
    <t>2 achived : (27 professional organizations have benefited from:
- 35,325 cumin packages
- 60,625 packages of henna
- 600 Roll up
- 250,000 Flyers
- 50,000 Business cards)</t>
  </si>
  <si>
    <r>
      <t xml:space="preserve">* </t>
    </r>
    <r>
      <rPr>
        <u/>
        <sz val="9"/>
        <rFont val="Times New Roman"/>
        <family val="1"/>
      </rPr>
      <t>5 tourism units</t>
    </r>
    <r>
      <rPr>
        <sz val="9"/>
        <rFont val="Times New Roman"/>
        <family val="1"/>
      </rPr>
      <t xml:space="preserve"> 
* </t>
    </r>
    <r>
      <rPr>
        <u/>
        <sz val="9"/>
        <rFont val="Times New Roman"/>
        <family val="1"/>
      </rPr>
      <t>Identification of</t>
    </r>
    <r>
      <rPr>
        <sz val="9"/>
        <rFont val="Times New Roman"/>
        <family val="1"/>
      </rPr>
      <t>:
(- 10 circuits for niche tourism inherent in culture
- 03 circuits for niche tourism for ecotourism
- 14 circuits for religious niche tourism and Sufism
- 05 circuits for tourism for archeology, memory and history.
- 03 circuits for sports)</t>
    </r>
  </si>
  <si>
    <t>120 ha</t>
  </si>
  <si>
    <r>
      <t>396  pepole</t>
    </r>
    <r>
      <rPr>
        <b/>
        <sz val="9"/>
        <color theme="5"/>
        <rFont val="Times New Roman"/>
        <family val="1"/>
      </rPr>
      <t xml:space="preserve"> (12% : women) ; </t>
    </r>
    <r>
      <rPr>
        <u/>
        <sz val="9"/>
        <rFont val="Times New Roman"/>
        <family val="1"/>
      </rPr>
      <t>Themes :</t>
    </r>
    <r>
      <rPr>
        <b/>
        <sz val="9"/>
        <color theme="5"/>
        <rFont val="Times New Roman"/>
        <family val="1"/>
      </rPr>
      <t xml:space="preserve">
</t>
    </r>
    <r>
      <rPr>
        <sz val="9"/>
        <rFont val="Times New Roman"/>
        <family val="1"/>
      </rPr>
      <t>- Techniques for limiting pollution and treating water.
- Phyto-purification techniques.
- Recycling techniques.
- Trip : Guided tours in wastewater treatment stations (Ouarzazate, Agadir, Tinjdad and Fès).</t>
    </r>
  </si>
  <si>
    <r>
      <rPr>
        <b/>
        <u/>
        <sz val="9"/>
        <color indexed="8"/>
        <rFont val="Times New Roman"/>
        <family val="1"/>
      </rPr>
      <t>2 new constructions</t>
    </r>
    <r>
      <rPr>
        <sz val="9"/>
        <color indexed="8"/>
        <rFont val="Times New Roman"/>
        <family val="1"/>
      </rPr>
      <t xml:space="preserve">
- Interior design of the Abderrahmane Eddakhil school in Ferkla EL oulia;
- Project to rehabilitate an environmental and ecological space at the Saghro 01 school in Alnif.</t>
    </r>
  </si>
  <si>
    <r>
      <rPr>
        <b/>
        <u/>
        <sz val="9"/>
        <color indexed="8"/>
        <rFont val="Times New Roman"/>
        <family val="1"/>
      </rPr>
      <t>2 restored buildings</t>
    </r>
    <r>
      <rPr>
        <sz val="9"/>
        <color indexed="8"/>
        <rFont val="Times New Roman"/>
        <family val="1"/>
      </rPr>
      <t xml:space="preserve">
- Environmental upgrading of the Nkob Central School (province of Zagora)
- Contribution to projects to restore buildings and prevent fire</t>
    </r>
  </si>
  <si>
    <t>Establishment of a database on water ressources : 2915 documents</t>
  </si>
  <si>
    <r>
      <rPr>
        <b/>
        <u/>
        <sz val="9"/>
        <color indexed="8"/>
        <rFont val="Times New Roman"/>
        <family val="1"/>
      </rPr>
      <t>6 regional tehmatics carried out</t>
    </r>
    <r>
      <rPr>
        <sz val="9"/>
        <color indexed="8"/>
        <rFont val="Times New Roman"/>
        <family val="1"/>
      </rPr>
      <t xml:space="preserve">
- Organization of the international conference "The contribution of new technologies (GIS and Remote Sensing) in monitoring the dynamics of the oasis ecosystem in the face of climate changes
- Thematic conference on the development of cumin in Bouarfa
- Thematic conference on Tourism in Zagora
- Thematic conference on local products in Zagora
- Organization of the "International date fair" </t>
    </r>
    <r>
      <rPr>
        <u/>
        <sz val="9"/>
        <color indexed="8"/>
        <rFont val="Times New Roman"/>
        <family val="1"/>
      </rPr>
      <t>theme:</t>
    </r>
    <r>
      <rPr>
        <sz val="9"/>
        <color indexed="8"/>
        <rFont val="Times New Roman"/>
        <family val="1"/>
      </rPr>
      <t xml:space="preserve"> "The date palm, lever of employment and pillar of the oasis economy"
- Organization of the rose festival; </t>
    </r>
    <r>
      <rPr>
        <u/>
        <sz val="9"/>
        <color indexed="8"/>
        <rFont val="Times New Roman"/>
        <family val="1"/>
      </rPr>
      <t>theme</t>
    </r>
    <r>
      <rPr>
        <sz val="9"/>
        <color indexed="8"/>
        <rFont val="Times New Roman"/>
        <family val="1"/>
      </rPr>
      <t xml:space="preserve"> "the fragrant rose, a strong lever for employment and the dynamics of the local economy"</t>
    </r>
  </si>
  <si>
    <t>More than 20 press releases</t>
  </si>
  <si>
    <t>50 awareness projects have been funded
Awareness actions :
- Climate changes
- Preservation and economy of water resources
- Environmental aspects.</t>
  </si>
  <si>
    <t>1744 participants (women 15%)</t>
  </si>
  <si>
    <r>
      <t>- Organization of 10 trips (</t>
    </r>
    <r>
      <rPr>
        <b/>
        <sz val="9"/>
        <color theme="5"/>
        <rFont val="Times New Roman"/>
        <family val="1"/>
      </rPr>
      <t>11% : women)</t>
    </r>
    <r>
      <rPr>
        <sz val="9"/>
        <color indexed="8"/>
        <rFont val="Times New Roman"/>
        <family val="1"/>
      </rPr>
      <t xml:space="preserve">
- Organization of 8 workshops </t>
    </r>
    <r>
      <rPr>
        <b/>
        <sz val="9"/>
        <color theme="5"/>
        <rFont val="Times New Roman"/>
        <family val="1"/>
      </rPr>
      <t>(9% : women)</t>
    </r>
    <r>
      <rPr>
        <sz val="9"/>
        <color indexed="8"/>
        <rFont val="Times New Roman"/>
        <family val="1"/>
      </rPr>
      <t xml:space="preserve">
- 53 participants
</t>
    </r>
  </si>
  <si>
    <r>
      <t xml:space="preserve">87 workshops (1744 participant : </t>
    </r>
    <r>
      <rPr>
        <b/>
        <sz val="9"/>
        <color theme="5"/>
        <rFont val="Times New Roman"/>
        <family val="1"/>
      </rPr>
      <t>15% are women</t>
    </r>
    <r>
      <rPr>
        <sz val="9"/>
        <color theme="5"/>
        <rFont val="Times New Roman"/>
        <family val="1"/>
      </rPr>
      <t>)</t>
    </r>
    <r>
      <rPr>
        <sz val="9"/>
        <color indexed="8"/>
        <rFont val="Times New Roman"/>
        <family val="1"/>
      </rPr>
      <t xml:space="preserve">.
</t>
    </r>
  </si>
  <si>
    <t>790 participants (women 15%)</t>
  </si>
  <si>
    <t>State : No longer relevant
The project is managed in a participatory approach which avoids any kind of intercations of interests or resistance to the actions of the project</t>
  </si>
  <si>
    <t>State : Low
* The terms of reference of the projects clearly specify the difficulties associated with the work and the services requested. 
* The Technical Assitance and the EE teams and staff conduct field visits to monitor achievements.</t>
  </si>
  <si>
    <t>About 2600 of Officials and Oasis beneficiaries (whose ability to collectively manage climate change adaptation project) has been strengthened.</t>
  </si>
  <si>
    <t>In accordance with the specific agreement signed between the NIE and the EE on the execution of the PACCZO project, the ADZOA has performed :
- Establishment of a database on water ressources : 2915 documents
- 6 regional tehmatics carried out
  * Organization of the international conference "The contribution of new technologies (GIS and Remote Sensing) in monitoring the dynamics of the oasis ecosystem in the face of climate changes
  * Thematic conference on the development of cumin in Bouarfa
  * Thematic conference on Tourism in Zagora
  * Thematic conference on local products in Zagora
  * Organization of the "International date fair" theme: "The date palm, lever of employment and pillar of the oasis economy"
  * Organization of the rose festival; theme "the fragrant rose, a strong lever for employment and the dynamics of the local economy"
- More than 20 press releases
- 50 awareness projects have been funded</t>
  </si>
  <si>
    <t>Both 1) works on "regulation of ground and surface water" and 2) "vulnirabel infrastrastructure allowing the improvement of water efficiency - Khettara &amp; Saguia" has been started :
* Restoration of khettaras : 23 Khettaras restored (4414 linear meter) on an objective of 18 khettaras
* Works on irrigation water distribution networks: 18 SMH networks renovated : 6096 linear meter
* Build priority infrastructure : 4 structures
* Groundwater recharge structures : 2 structures has been finished for 10000 people &amp; 1400 hoslods
* 4 Feasability studies
* Structures for perimeters protection are built : 14 protective wall (2398 linear meter)</t>
  </si>
  <si>
    <t>4 Oases</t>
  </si>
  <si>
    <t>* Economic activities,  particularly for youths and women,  are supported and developed
  - 45 projects (women projets - about 25%)
  - PACCZO Contribution : 6,598,950 
  - Main areas of funded projects: Agriculture, Environment, Handicrafts and Tourism.
* Conservation technics are circulated and adopted : 616 farmers
* Oasis agriculture products are developed and promoted : 27 professional organizations have benefited.</t>
  </si>
  <si>
    <t xml:space="preserve"> About 2600 of Officials and Oasis beneficiaries (whose ability to collectively manage climate change adaptation project) has been strengthened and the population has awarned of climate change. Good progress of works : 1) "to increase adaptive capacity within relevant development and natural resource sectors", 2) "to increase ecosystem resilience in response to climate change and variability-induced stress" and "to trength awareness and ownership of adaptation". 
45 projects were selected (of populations vulnerable to climate change) and funded in order to diversify income resources and living conditions of this population.
</t>
  </si>
  <si>
    <t>Inception Phase commenced on 14 December 2015. 
- Technical assistance was recruited for both NIE &amp; EE. 
- Regional Coordinating Committee  (CRC) and Steering Committee (COPIL) were regularly held.
- Agreements were concretized with the project partners.
- Works were completed in accordance with the AWPB</t>
  </si>
  <si>
    <t>Inception Phase commenced on 14 December 2015. 
- Technical assistance was recruited for both NIE &amp; EE. 
- Regional Coordinating Committee  (CRC) were regularly held.
- 7 Agreements were concretized with the project partners.
- Works were completed in accordance with the AWPB</t>
  </si>
  <si>
    <t>About 2600 of Officials and beneficiaries trained with reinforced capacities in adaptation project management.</t>
  </si>
  <si>
    <t>- More than 1700 people (oasis beneficiaries) plus officials (from different services) have benefited from trainings related to climate change adaptation.
- More than 15 Workshops (Governance of water and sanitation services in the oasis environment face of CC / Integrated management of water resources face to CC).
- 21%  : Cooperatives &amp; Agricultural water management associations
- Organization of 10 trips
- Women participation : 12%
- 109% : Attendance rate
- Managers of public services and beneficiaries have been trained</t>
  </si>
  <si>
    <t>- Establishment of a database on water ressources : 2915 documents
- 6 regional tehmatics carried out
- More than 20 press releases
- 50 awareness projects have been funded</t>
  </si>
  <si>
    <r>
      <t xml:space="preserve">45 projects </t>
    </r>
    <r>
      <rPr>
        <b/>
        <sz val="9"/>
        <color theme="5"/>
        <rFont val="Times New Roman"/>
        <family val="1"/>
      </rPr>
      <t xml:space="preserve">(women projets - about 25%)
</t>
    </r>
    <r>
      <rPr>
        <sz val="9"/>
        <rFont val="Times New Roman"/>
        <family val="1"/>
      </rPr>
      <t>• PACCZO Contribution : 684,211 USD 
• Main areas of funded projects: Agriculture, Environment, Handicrafts and Tourism.</t>
    </r>
  </si>
  <si>
    <t>45 production units (project holder) receives funding (a total of  684,211 USD).</t>
  </si>
  <si>
    <t>- 23 Khettaras restored (4414 linear meter) on an objective of 18 khettaras
- 18 SMH networks renovated : 6096 linear meter
- Build priority infrastructure : 4 structures
- Groundwater recharge structures : 2 structures has been finished (for 10000 people &amp; 1400 hoslods)
- 4 Feasability studies
- Structures for perimeters protection are built : 14 protective wall (2398 linear meter)</t>
  </si>
  <si>
    <t>* The fight against desertification : 120 ha (objective 40 ha)
*  Techniques for cleanup in the oasis zones
    - Techniques for limiting pollution and treating water.
    - Phyto-purification techniques.
    - Recycling techniques.
    - Trip : Guided tours in wastewater treatment stations (Ouarzazate, Agadir, Tinjdad and Fès).
* 2 restored buildings
* 2 new constructions</t>
  </si>
  <si>
    <t>- The fight against desertification : 120 ha (objective 40 ha)
- Training in techniques for cleanup in the oasis zones
- 2 restored buildings
- 2 new constructions</t>
  </si>
  <si>
    <t>Project execution was carried out in accordance with 1) Annual Work Plan and 2) Budget and the Project Procurement Plan pre-established.
Despite the delay in the start of the project, all the components of the project were started. The project partners are all aware of the problems of climate change and are actively involved in the success of the project. 7 agreements were signed with partners (ABH, ORMVAO, ORMVATF and IAV). The rate of participation in trainings was significant. Stakeholders are very aware of the project's objectives. The project is well publicized and the works have achieved their objectives</t>
  </si>
  <si>
    <t>Composante</t>
  </si>
  <si>
    <t>Résultat</t>
  </si>
  <si>
    <t>Coûts</t>
  </si>
  <si>
    <t>en Dirhams</t>
  </si>
  <si>
    <t>en USD</t>
  </si>
  <si>
    <t>Composante 3 : Amélioration de la résilience des écosystèmes en réponse au changement climatique et à la variabilité.</t>
  </si>
  <si>
    <t>3.2 Le patrimoine oasien est préservé et valorisé</t>
  </si>
  <si>
    <t>3.2.4.1 : Aménager des points d’eau pour la lutte contre les incendies.</t>
  </si>
  <si>
    <t>3.2.4.2 : Acquérir de matériels de lutte contre les incendies.</t>
  </si>
  <si>
    <t>Total composante 3</t>
  </si>
  <si>
    <t>Comosanse 4</t>
  </si>
  <si>
    <t>Séminaire de cloture</t>
  </si>
  <si>
    <t>Total PTBA 4</t>
  </si>
  <si>
    <t>Total investissement</t>
  </si>
  <si>
    <t>Mise en peuvre</t>
  </si>
  <si>
    <t>AWPB (Annual Work Plan and Budget) 2016, 2017, 2019, Manual and the management procedures of the project, Project Brochure, Environmental and Social Management Plans, Training Reports (Strengthening capacities), First semi-annual report 2016, 2017, 2018 &amp; 2019 (Prepared by EE), Second half-yearly report 2016, 2017, 2018, 2019 (Prepared by EE), EE's Technical Assistance Reports, Project Monitoring Report n° 01 (Prepared by NIE), Project Monitoring Report n° 02 (Prepared by NIE), Audit report for the year 2015, 2016, 2017 (Prepared by NIE).</t>
  </si>
  <si>
    <t>Ms Meryem ANDALOUSSI</t>
  </si>
  <si>
    <t>m.andaloussi@ada.gov.ma / meryem.andaloussi@gmail.com</t>
  </si>
  <si>
    <t>State : No longer relevant
Thanks to the great experience of ANDZOA in the management of similar projects, this risk is well controlled. At present, the project is carried out in a good institutional conditions thanks to the externnal "Technical Assitance" and the EE Team.</t>
  </si>
  <si>
    <t>State : Low
* Coordination and consultation are done regularly with the ABH (Hydraulic Basin Agency) in order to avoid affecting the access to resources in downstream sites.
* The actions of the project are programmed according to the recommendations of the ESMP (Environmental and Social Management Plan).</t>
  </si>
  <si>
    <t>State : Low
The project area has experienced significant adaptation to climate change in the past. The project aims to improve resilience to climate change</t>
  </si>
  <si>
    <t>MERYEM ANDALOUSSI</t>
  </si>
  <si>
    <t>More than 1700 people (oasis beneficiaries) plus officials (from different services) have benefited from trainings related to adaptation to climate change.
   * More than 15 Workshops (Governance of water and sanitation services in the oasis environment face of CC / Integrated management of water resources face to CC).
   * 21%  : Cooperatives &amp; Agricultural water management associations
   * Organization of 10 trips
   * 12% : Women
   * 109% : Attendance rate
- Managers of public services and beneficiaries have been trained on : 
   * Governance of water and sanitation services in the oasis in the face of CC
   * Integrated management of water resources against CC
   * Management of project cycles
   * Project financing
   * Participatory approach applied to adaptation measures
   * Conflict Management and Mediation</t>
  </si>
  <si>
    <t>* Integration of institutional partners (administration related to water, agriculture, environment) in all project implementing processes
* A great synergy was shown by the integration of the ABH and the ORMVA's concerning the work and infrastructure achievements</t>
  </si>
  <si>
    <t>* Immediate positive effects of the actions of underground dams on water resources and then on adaptation to Climate Change
* Actions related to water (Khettaras, irrigation channels, groundwater recharge structures) have accelerated positive effects on adaptation to climate change</t>
  </si>
  <si>
    <t>* Reinforce actions of diversifying income sources and improving the living conditions of populations vulnerable to CC : 1) Triggering income generation microprojects (or projets); 2) Helping women's economic independence
*A great synergy between capacity building and promotion of agricultural products</t>
  </si>
  <si>
    <t>* Des données détaillées sur la population, l'activité économique, les statistiques agricoles (rapports, statistiques, documents, bases de données, expériences) ont été très utiles pour la préparation de l'AWP et le suivi</t>
  </si>
  <si>
    <t>* Improvement of income and living conditions of the target population
* Limit the exodus and revitalization of palm groves
* Promotion of Oasis products (most vulnerable to CC)</t>
  </si>
  <si>
    <t>* Provision of technical assistance to ensure the quality of the work
* Participation of the target population during implementing 
* Integrating the target population to ensure the maintenance of structures after completion of works</t>
  </si>
  <si>
    <t>*Very good results and effects of workshops, training, visits and trips: 1) good understanding of the issues and 2) adoption of actions proposed by the target population</t>
  </si>
  <si>
    <t>* No difficulty was encountered</t>
  </si>
  <si>
    <t>* The participatory approach framework integrating the direct beneficiaries and all administrative bodies related to water, agriculture and the environment
* Support community services (aims to protect natural resources)</t>
  </si>
  <si>
    <t>* Direct commitment of partners and adoption of achievements</t>
  </si>
  <si>
    <t>Vessements</t>
  </si>
  <si>
    <t>DATE OPERATION</t>
  </si>
  <si>
    <t>DATE VALEUR</t>
  </si>
  <si>
    <t>LIBELLE OPERATION</t>
  </si>
  <si>
    <t>DEBIT</t>
  </si>
  <si>
    <t>CREDIT</t>
  </si>
  <si>
    <t>Solde</t>
  </si>
  <si>
    <t>V1</t>
  </si>
  <si>
    <t>VRT O/ INTL BANK FOR RECONSTR.+DEVE</t>
  </si>
  <si>
    <t/>
  </si>
  <si>
    <t>VRT O/ INTL BANK RECONST.+ DEVELOPM</t>
  </si>
  <si>
    <t>VIREMENT EMIS N 34</t>
  </si>
  <si>
    <t>V2</t>
  </si>
  <si>
    <t>VRT O/ IBRD - TRUST FUNDS</t>
  </si>
  <si>
    <t>VRT O/ IBRD TRUST FUNDS</t>
  </si>
  <si>
    <t>OV N 25</t>
  </si>
  <si>
    <t>V3</t>
  </si>
  <si>
    <t>O/ IBRD TRUST FUNDS</t>
  </si>
  <si>
    <t>VIREMENT EMIS N°238</t>
  </si>
  <si>
    <t>Versement à l'ANDZOA</t>
  </si>
  <si>
    <t>Versement de l'FA</t>
  </si>
  <si>
    <t>MAD</t>
  </si>
  <si>
    <t>USD</t>
  </si>
  <si>
    <t>Taux</t>
  </si>
  <si>
    <t>Demande PTBA 4</t>
  </si>
  <si>
    <t>ANDZOA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</si>
</sst>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dd\-mmm\-yyyy"/>
    <numFmt numFmtId="166" formatCode="_-* #,##0\ _€_-;\-* #,##0\ _€_-;_-* &quot;-&quot;??\ _€_-;_-@_-"/>
    <numFmt numFmtId="167" formatCode="#,##0_ ;\-#,##0\ "/>
  </numFmts>
  <fonts count="14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b/>
      <sz val="11"/>
      <color rgb="FFC00000"/>
      <name val="Times New Roman"/>
      <family val="1"/>
    </font>
    <font>
      <b/>
      <sz val="14"/>
      <name val="Times New Roman"/>
      <family val="1"/>
    </font>
    <font>
      <b/>
      <sz val="14"/>
      <color rgb="FFC00000"/>
      <name val="Times New Roman"/>
      <family val="1"/>
    </font>
    <font>
      <b/>
      <sz val="10"/>
      <color indexed="8"/>
      <name val="Times New Roman"/>
      <family val="1"/>
    </font>
    <font>
      <b/>
      <sz val="10"/>
      <color indexed="10"/>
      <name val="Times New Roman"/>
      <family val="1"/>
    </font>
    <font>
      <sz val="8"/>
      <color theme="1"/>
      <name val="Calibri"/>
      <family val="2"/>
      <scheme val="minor"/>
    </font>
    <font>
      <b/>
      <sz val="10"/>
      <color theme="0"/>
      <name val="Calibri"/>
      <family val="2"/>
    </font>
    <font>
      <b/>
      <sz val="10"/>
      <color rgb="FFFFFFFF"/>
      <name val="Calibri"/>
      <family val="2"/>
    </font>
    <font>
      <b/>
      <sz val="9"/>
      <color rgb="FFFFFFFF"/>
      <name val="Calibri"/>
      <family val="2"/>
    </font>
    <font>
      <b/>
      <sz val="9"/>
      <color rgb="FFFFFF00"/>
      <name val="Calibri"/>
      <family val="2"/>
    </font>
    <font>
      <sz val="10"/>
      <color theme="1"/>
      <name val="Calibri"/>
      <family val="2"/>
    </font>
    <font>
      <sz val="9"/>
      <color theme="1"/>
      <name val="Calibri"/>
      <family val="2"/>
    </font>
    <font>
      <sz val="9"/>
      <color rgb="FF000000"/>
      <name val="Calibri"/>
      <family val="2"/>
    </font>
    <font>
      <sz val="8"/>
      <color rgb="FF000000"/>
      <name val="Calibri"/>
      <family val="2"/>
    </font>
    <font>
      <b/>
      <sz val="10"/>
      <color rgb="FFFFFF00"/>
      <name val="Calibri"/>
      <family val="2"/>
    </font>
    <font>
      <b/>
      <sz val="8"/>
      <color rgb="FFFFFF00"/>
      <name val="Calibri"/>
      <family val="2"/>
    </font>
    <font>
      <b/>
      <sz val="11"/>
      <color rgb="FFC00000"/>
      <name val="Calibri"/>
      <family val="2"/>
      <scheme val="minor"/>
    </font>
    <font>
      <b/>
      <u/>
      <sz val="11"/>
      <color rgb="FFC00000"/>
      <name val="Calibri"/>
      <family val="2"/>
      <scheme val="minor"/>
    </font>
    <font>
      <sz val="9"/>
      <color indexed="8"/>
      <name val="Times New Roman"/>
      <family val="1"/>
    </font>
    <font>
      <sz val="10"/>
      <color theme="1"/>
      <name val="Calibri"/>
      <family val="2"/>
      <scheme val="minor"/>
    </font>
    <font>
      <b/>
      <u/>
      <sz val="11"/>
      <color rgb="FFFF0000"/>
      <name val="Times New Roman"/>
      <family val="1"/>
    </font>
    <font>
      <b/>
      <sz val="11"/>
      <color theme="1"/>
      <name val="Calibri"/>
      <family val="2"/>
      <scheme val="minor"/>
    </font>
    <font>
      <b/>
      <sz val="8"/>
      <color theme="1"/>
      <name val="Calibri"/>
      <family val="2"/>
      <scheme val="minor"/>
    </font>
    <font>
      <b/>
      <u/>
      <sz val="10"/>
      <color theme="1"/>
      <name val="Calibri"/>
      <family val="2"/>
      <scheme val="minor"/>
    </font>
    <font>
      <sz val="10"/>
      <color rgb="FF9C6500"/>
      <name val="Calibri"/>
      <family val="2"/>
      <scheme val="minor"/>
    </font>
    <font>
      <sz val="10"/>
      <color theme="1"/>
      <name val="Times New Roman"/>
      <family val="1"/>
    </font>
    <font>
      <b/>
      <u/>
      <sz val="11"/>
      <color theme="10"/>
      <name val="Calibri"/>
      <family val="2"/>
    </font>
    <font>
      <b/>
      <i/>
      <sz val="10"/>
      <name val="Times New Roman"/>
      <family val="1"/>
    </font>
    <font>
      <i/>
      <sz val="8"/>
      <color theme="1"/>
      <name val="Calibri"/>
      <family val="2"/>
      <scheme val="minor"/>
    </font>
    <font>
      <sz val="8"/>
      <color rgb="FF9C6500"/>
      <name val="Calibri"/>
      <family val="2"/>
      <scheme val="minor"/>
    </font>
    <font>
      <b/>
      <sz val="10"/>
      <color rgb="FF000000"/>
      <name val="Calibri"/>
      <family val="2"/>
    </font>
    <font>
      <b/>
      <sz val="8"/>
      <color rgb="FF000000"/>
      <name val="Calibri"/>
      <family val="2"/>
    </font>
    <font>
      <b/>
      <sz val="8"/>
      <color rgb="FFFF0000"/>
      <name val="Calibri"/>
      <family val="2"/>
    </font>
    <font>
      <b/>
      <sz val="10"/>
      <color rgb="FF002060"/>
      <name val="Calibri"/>
      <family val="2"/>
    </font>
    <font>
      <sz val="10"/>
      <color rgb="FF000000"/>
      <name val="Calibri"/>
      <family val="2"/>
    </font>
    <font>
      <b/>
      <sz val="10"/>
      <color theme="1"/>
      <name val="Calibri"/>
      <family val="2"/>
    </font>
    <font>
      <sz val="10"/>
      <color indexed="8"/>
      <name val="Times New Roman"/>
      <family val="1"/>
    </font>
    <font>
      <sz val="8.5"/>
      <color rgb="FF000000"/>
      <name val="Calibri"/>
      <family val="2"/>
      <scheme val="minor"/>
    </font>
    <font>
      <b/>
      <sz val="8.5"/>
      <color rgb="FF002060"/>
      <name val="Calibri"/>
      <family val="2"/>
      <scheme val="minor"/>
    </font>
    <font>
      <b/>
      <sz val="8.5"/>
      <color rgb="FF000000"/>
      <name val="Calibri"/>
      <family val="2"/>
      <scheme val="minor"/>
    </font>
    <font>
      <b/>
      <sz val="9"/>
      <color indexed="8"/>
      <name val="Times New Roman"/>
      <family val="1"/>
    </font>
    <font>
      <b/>
      <sz val="10"/>
      <color rgb="FFC00000"/>
      <name val="Times New Roman"/>
      <family val="1"/>
    </font>
    <font>
      <sz val="12"/>
      <color rgb="FFFF0000"/>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2"/>
      <color theme="5"/>
      <name val="Calibri"/>
      <family val="2"/>
      <scheme val="minor"/>
    </font>
    <font>
      <sz val="10"/>
      <name val="Calibri"/>
      <family val="2"/>
    </font>
    <font>
      <b/>
      <sz val="9"/>
      <color rgb="FF000000"/>
      <name val="Calibri"/>
      <family val="2"/>
    </font>
    <font>
      <sz val="8.5"/>
      <color rgb="FF000000"/>
      <name val="Calibri"/>
      <family val="2"/>
    </font>
    <font>
      <b/>
      <sz val="8.5"/>
      <color rgb="FF002060"/>
      <name val="Calibri"/>
      <family val="2"/>
    </font>
    <font>
      <b/>
      <sz val="8.5"/>
      <color rgb="FF00B050"/>
      <name val="Calibri"/>
      <family val="2"/>
    </font>
    <font>
      <b/>
      <sz val="10"/>
      <color rgb="FF00B050"/>
      <name val="Calibri"/>
      <family val="2"/>
    </font>
    <font>
      <b/>
      <sz val="8.5"/>
      <color rgb="FFFF0000"/>
      <name val="Calibri"/>
      <family val="2"/>
    </font>
    <font>
      <b/>
      <sz val="10"/>
      <name val="Calibri"/>
      <family val="2"/>
    </font>
    <font>
      <sz val="8.5"/>
      <color rgb="FFFF0000"/>
      <name val="Calibri"/>
      <family val="2"/>
    </font>
    <font>
      <b/>
      <sz val="10"/>
      <color theme="0"/>
      <name val="Calibri"/>
      <family val="2"/>
      <scheme val="minor"/>
    </font>
    <font>
      <b/>
      <sz val="8.5"/>
      <color rgb="FF000000"/>
      <name val="Calibri"/>
      <family val="2"/>
    </font>
    <font>
      <b/>
      <sz val="8"/>
      <name val="Calibri"/>
      <family val="2"/>
    </font>
    <font>
      <sz val="8.5"/>
      <color theme="1"/>
      <name val="Calibri"/>
      <family val="2"/>
    </font>
    <font>
      <b/>
      <sz val="8.5"/>
      <color theme="5" tint="-0.249977111117893"/>
      <name val="Calibri"/>
      <family val="2"/>
    </font>
    <font>
      <sz val="10"/>
      <color theme="0"/>
      <name val="Calibri"/>
      <family val="2"/>
      <scheme val="minor"/>
    </font>
    <font>
      <sz val="10"/>
      <color theme="0"/>
      <name val="Calibri"/>
      <family val="2"/>
    </font>
    <font>
      <b/>
      <sz val="10"/>
      <color rgb="FFFFFF00"/>
      <name val="Calibri"/>
      <family val="2"/>
      <scheme val="minor"/>
    </font>
    <font>
      <b/>
      <sz val="10"/>
      <name val="Calibri"/>
      <family val="2"/>
      <scheme val="minor"/>
    </font>
    <font>
      <sz val="10"/>
      <color rgb="FFFF0000"/>
      <name val="Calibri"/>
      <family val="2"/>
    </font>
    <font>
      <b/>
      <sz val="10"/>
      <color rgb="FFFF0000"/>
      <name val="Calibri"/>
      <family val="2"/>
    </font>
    <font>
      <b/>
      <sz val="10"/>
      <color theme="1"/>
      <name val="Calibri"/>
      <family val="2"/>
      <scheme val="minor"/>
    </font>
    <font>
      <sz val="11"/>
      <color rgb="FFFF0000"/>
      <name val="Calibri"/>
      <family val="2"/>
      <scheme val="minor"/>
    </font>
    <font>
      <sz val="9"/>
      <name val="Times New Roman"/>
      <family val="1"/>
    </font>
    <font>
      <b/>
      <sz val="11"/>
      <color theme="9" tint="-0.249977111117893"/>
      <name val="Calibri"/>
      <family val="2"/>
      <scheme val="minor"/>
    </font>
    <font>
      <sz val="9"/>
      <name val="Calibri"/>
      <family val="2"/>
    </font>
    <font>
      <sz val="8"/>
      <name val="Calibri"/>
      <family val="2"/>
      <scheme val="minor"/>
    </font>
    <font>
      <b/>
      <sz val="9"/>
      <name val="Calibri"/>
      <family val="2"/>
    </font>
    <font>
      <sz val="9"/>
      <color theme="1"/>
      <name val="Calibri"/>
      <family val="2"/>
      <scheme val="minor"/>
    </font>
    <font>
      <u/>
      <sz val="11"/>
      <name val="Times New Roman"/>
      <family val="1"/>
    </font>
    <font>
      <sz val="11"/>
      <color theme="0" tint="-4.9989318521683403E-2"/>
      <name val="Times New Roman"/>
      <family val="1"/>
    </font>
    <font>
      <b/>
      <sz val="9"/>
      <color theme="5"/>
      <name val="Times New Roman"/>
      <family val="1"/>
    </font>
    <font>
      <sz val="9"/>
      <color theme="5"/>
      <name val="Times New Roman"/>
      <family val="1"/>
    </font>
    <font>
      <b/>
      <sz val="9"/>
      <color rgb="FFC00000"/>
      <name val="Times New Roman"/>
      <family val="1"/>
    </font>
    <font>
      <b/>
      <sz val="11"/>
      <name val="Calibri"/>
      <family val="2"/>
      <scheme val="minor"/>
    </font>
    <font>
      <b/>
      <sz val="10"/>
      <color rgb="FFFF0000"/>
      <name val="Calibri"/>
      <family val="2"/>
      <scheme val="minor"/>
    </font>
    <font>
      <u val="singleAccounting"/>
      <sz val="10"/>
      <color theme="0"/>
      <name val="Calibri"/>
      <family val="2"/>
    </font>
    <font>
      <u val="singleAccounting"/>
      <sz val="10"/>
      <name val="Calibri"/>
      <family val="2"/>
    </font>
    <font>
      <sz val="11"/>
      <color rgb="FFB17E19"/>
      <name val="Calibri"/>
      <family val="2"/>
      <scheme val="minor"/>
    </font>
    <font>
      <b/>
      <sz val="8"/>
      <color theme="1"/>
      <name val="Calibri"/>
      <family val="2"/>
    </font>
    <font>
      <b/>
      <sz val="8"/>
      <color rgb="FFFFFFFF"/>
      <name val="Calibri"/>
      <family val="2"/>
    </font>
    <font>
      <b/>
      <sz val="9"/>
      <name val="Calibri"/>
      <family val="2"/>
      <scheme val="minor"/>
    </font>
    <font>
      <b/>
      <sz val="9"/>
      <color indexed="81"/>
      <name val="Tahoma"/>
      <family val="2"/>
    </font>
    <font>
      <sz val="9"/>
      <color indexed="81"/>
      <name val="Tahoma"/>
      <family val="2"/>
    </font>
    <font>
      <b/>
      <sz val="8"/>
      <color rgb="FFC00000"/>
      <name val="Calibri"/>
      <family val="2"/>
    </font>
    <font>
      <b/>
      <sz val="8"/>
      <color rgb="FF0070C0"/>
      <name val="Calibri"/>
      <family val="2"/>
    </font>
    <font>
      <sz val="8"/>
      <color theme="1"/>
      <name val="Calibri"/>
      <family val="2"/>
    </font>
    <font>
      <b/>
      <sz val="8"/>
      <color rgb="FF0070C0"/>
      <name val="Calibri"/>
      <family val="2"/>
      <scheme val="minor"/>
    </font>
    <font>
      <sz val="11"/>
      <color rgb="FFC00000"/>
      <name val="Calibri"/>
      <family val="2"/>
      <scheme val="minor"/>
    </font>
    <font>
      <b/>
      <sz val="8"/>
      <color theme="1"/>
      <name val="Times New Roman"/>
      <family val="1"/>
    </font>
    <font>
      <b/>
      <sz val="9"/>
      <name val="Times New Roman"/>
      <family val="1"/>
    </font>
    <font>
      <u/>
      <sz val="9"/>
      <name val="Times New Roman"/>
      <family val="1"/>
    </font>
    <font>
      <b/>
      <u/>
      <sz val="9"/>
      <color indexed="8"/>
      <name val="Times New Roman"/>
      <family val="1"/>
    </font>
    <font>
      <u/>
      <sz val="9"/>
      <color indexed="8"/>
      <name val="Times New Roman"/>
      <family val="1"/>
    </font>
    <font>
      <b/>
      <u/>
      <sz val="12"/>
      <color rgb="FF0070C0"/>
      <name val="Times New Roman"/>
      <family val="1"/>
    </font>
  </fonts>
  <fills count="4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002060"/>
        <bgColor indexed="64"/>
      </patternFill>
    </fill>
    <fill>
      <patternFill patternType="solid">
        <fgColor rgb="FFFFFF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D9D9D9"/>
        <bgColor indexed="64"/>
      </patternFill>
    </fill>
    <fill>
      <patternFill patternType="solid">
        <fgColor theme="3" tint="0.79998168889431442"/>
        <bgColor indexed="64"/>
      </patternFill>
    </fill>
    <fill>
      <patternFill patternType="solid">
        <fgColor rgb="FFF2DCDB"/>
        <bgColor indexed="64"/>
      </patternFill>
    </fill>
    <fill>
      <patternFill patternType="solid">
        <fgColor theme="5" tint="0.79998168889431442"/>
        <bgColor indexed="64"/>
      </patternFill>
    </fill>
    <fill>
      <patternFill patternType="solid">
        <fgColor theme="5"/>
        <bgColor indexed="64"/>
      </patternFill>
    </fill>
    <fill>
      <patternFill patternType="solid">
        <fgColor rgb="FFD6E3BC"/>
        <bgColor indexed="64"/>
      </patternFill>
    </fill>
    <fill>
      <patternFill patternType="solid">
        <fgColor rgb="FFFCD5B4"/>
        <bgColor indexed="64"/>
      </patternFill>
    </fill>
    <fill>
      <patternFill patternType="solid">
        <fgColor theme="9" tint="0.59999389629810485"/>
        <bgColor indexed="64"/>
      </patternFill>
    </fill>
    <fill>
      <patternFill patternType="solid">
        <fgColor rgb="FFC4BC96"/>
        <bgColor indexed="64"/>
      </patternFill>
    </fill>
    <fill>
      <patternFill patternType="solid">
        <fgColor theme="2" tint="-0.249977111117893"/>
        <bgColor indexed="64"/>
      </patternFill>
    </fill>
    <fill>
      <patternFill patternType="solid">
        <fgColor rgb="FFDAEEF3"/>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1"/>
        <bgColor indexed="64"/>
      </patternFill>
    </fill>
    <fill>
      <patternFill patternType="solid">
        <fgColor rgb="FFC00000"/>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rgb="FF01F3FF"/>
        <bgColor indexed="64"/>
      </patternFill>
    </fill>
    <fill>
      <patternFill patternType="solid">
        <fgColor theme="9" tint="0.79998168889431442"/>
        <bgColor indexed="64"/>
      </patternFill>
    </fill>
    <fill>
      <patternFill patternType="solid">
        <fgColor rgb="FF0070C0"/>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theme="0"/>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s>
  <cellStyleXfs count="7">
    <xf numFmtId="0" fontId="0" fillId="0" borderId="0"/>
    <xf numFmtId="0" fontId="19" fillId="0" borderId="0" applyNumberFormat="0" applyFill="0" applyBorder="0" applyAlignment="0" applyProtection="0">
      <alignment vertical="top"/>
      <protection locked="0"/>
    </xf>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164" fontId="44" fillId="0" borderId="0" applyFont="0" applyFill="0" applyBorder="0" applyAlignment="0" applyProtection="0"/>
    <xf numFmtId="9" fontId="44" fillId="0" borderId="0" applyFont="0" applyFill="0" applyBorder="0" applyAlignment="0" applyProtection="0"/>
  </cellStyleXfs>
  <cellXfs count="1533">
    <xf numFmtId="0" fontId="0" fillId="0" borderId="0" xfId="0"/>
    <xf numFmtId="0" fontId="20" fillId="0" borderId="0" xfId="0" applyFont="1" applyFill="1" applyProtection="1"/>
    <xf numFmtId="0" fontId="20"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0" fillId="0" borderId="0" xfId="0" applyFont="1" applyAlignment="1">
      <alignment horizontal="left" vertical="center"/>
    </xf>
    <xf numFmtId="0" fontId="20" fillId="0" borderId="0" xfId="0" applyFont="1"/>
    <xf numFmtId="0" fontId="20"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0"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2"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4" fillId="3" borderId="20" xfId="0" applyFont="1" applyFill="1" applyBorder="1" applyAlignment="1" applyProtection="1">
      <alignment vertical="top" wrapText="1"/>
    </xf>
    <xf numFmtId="0" fontId="14" fillId="3" borderId="19"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20" fillId="3" borderId="16" xfId="0" applyFont="1" applyFill="1" applyBorder="1" applyAlignment="1">
      <alignment horizontal="left" vertical="center"/>
    </xf>
    <xf numFmtId="0" fontId="20" fillId="3" borderId="17" xfId="0" applyFont="1" applyFill="1" applyBorder="1" applyAlignment="1">
      <alignment horizontal="left" vertical="center"/>
    </xf>
    <xf numFmtId="0" fontId="20" fillId="3" borderId="17" xfId="0" applyFont="1" applyFill="1" applyBorder="1"/>
    <xf numFmtId="0" fontId="20" fillId="3" borderId="18" xfId="0" applyFont="1" applyFill="1" applyBorder="1"/>
    <xf numFmtId="0" fontId="20"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20" fillId="3" borderId="17" xfId="0" applyFont="1" applyFill="1" applyBorder="1" applyProtection="1"/>
    <xf numFmtId="0" fontId="20" fillId="3" borderId="18" xfId="0" applyFont="1" applyFill="1" applyBorder="1" applyProtection="1"/>
    <xf numFmtId="0" fontId="20" fillId="3" borderId="0" xfId="0" applyFont="1" applyFill="1" applyBorder="1" applyProtection="1"/>
    <xf numFmtId="0" fontId="20"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2"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13" fillId="3" borderId="20" xfId="0" applyFont="1" applyFill="1" applyBorder="1" applyAlignment="1" applyProtection="1"/>
    <xf numFmtId="0" fontId="0" fillId="3" borderId="20" xfId="0" applyFill="1" applyBorder="1"/>
    <xf numFmtId="0" fontId="23" fillId="3" borderId="16" xfId="0" applyFont="1" applyFill="1" applyBorder="1" applyAlignment="1">
      <alignment vertical="center"/>
    </xf>
    <xf numFmtId="0" fontId="23" fillId="3" borderId="19" xfId="0" applyFont="1" applyFill="1" applyBorder="1" applyAlignment="1">
      <alignment vertical="center"/>
    </xf>
    <xf numFmtId="0" fontId="23"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0" fillId="3" borderId="16" xfId="0" applyFont="1" applyFill="1" applyBorder="1"/>
    <xf numFmtId="0" fontId="20" fillId="3" borderId="19" xfId="0" applyFont="1" applyFill="1" applyBorder="1"/>
    <xf numFmtId="0" fontId="20" fillId="3" borderId="20" xfId="0" applyFont="1" applyFill="1" applyBorder="1"/>
    <xf numFmtId="0" fontId="24" fillId="3" borderId="0" xfId="0" applyFont="1" applyFill="1" applyBorder="1"/>
    <xf numFmtId="0" fontId="25" fillId="3" borderId="0" xfId="0" applyFont="1" applyFill="1" applyBorder="1"/>
    <xf numFmtId="0" fontId="24" fillId="0" borderId="25" xfId="0" applyFont="1" applyFill="1" applyBorder="1" applyAlignment="1">
      <alignment vertical="top" wrapText="1"/>
    </xf>
    <xf numFmtId="0" fontId="24" fillId="0" borderId="24" xfId="0" applyFont="1" applyFill="1" applyBorder="1" applyAlignment="1">
      <alignment vertical="top" wrapText="1"/>
    </xf>
    <xf numFmtId="0" fontId="24" fillId="0" borderId="1" xfId="0" applyFont="1" applyFill="1" applyBorder="1" applyAlignment="1">
      <alignment vertical="top" wrapText="1"/>
    </xf>
    <xf numFmtId="0" fontId="20" fillId="0" borderId="1" xfId="0" applyFont="1" applyFill="1" applyBorder="1" applyAlignment="1">
      <alignment vertical="top" wrapText="1"/>
    </xf>
    <xf numFmtId="0" fontId="20" fillId="3" borderId="22" xfId="0" applyFont="1" applyFill="1" applyBorder="1"/>
    <xf numFmtId="0" fontId="26" fillId="0" borderId="1" xfId="0" applyFont="1" applyFill="1" applyBorder="1" applyAlignment="1">
      <alignment horizontal="center" vertical="top" wrapText="1"/>
    </xf>
    <xf numFmtId="0" fontId="26" fillId="0" borderId="28" xfId="0" applyFont="1" applyFill="1" applyBorder="1" applyAlignment="1">
      <alignment horizontal="center" vertical="top" wrapText="1"/>
    </xf>
    <xf numFmtId="0" fontId="26"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0" fillId="0" borderId="0" xfId="0" applyFont="1" applyFill="1" applyAlignment="1" applyProtection="1">
      <alignment horizontal="right"/>
    </xf>
    <xf numFmtId="0" fontId="20" fillId="3" borderId="16" xfId="0" applyFont="1" applyFill="1" applyBorder="1" applyAlignment="1" applyProtection="1">
      <alignment horizontal="right"/>
    </xf>
    <xf numFmtId="0" fontId="20" fillId="3" borderId="17" xfId="0" applyFont="1" applyFill="1" applyBorder="1" applyAlignment="1" applyProtection="1">
      <alignment horizontal="right"/>
    </xf>
    <xf numFmtId="0" fontId="20" fillId="3" borderId="19" xfId="0" applyFont="1" applyFill="1" applyBorder="1" applyAlignment="1" applyProtection="1">
      <alignment horizontal="right"/>
    </xf>
    <xf numFmtId="0" fontId="20"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27"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2" fillId="2" borderId="29" xfId="0" applyFont="1" applyFill="1" applyBorder="1" applyAlignment="1" applyProtection="1">
      <alignment horizontal="right"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0" fillId="3" borderId="21" xfId="0" applyFont="1" applyFill="1" applyBorder="1"/>
    <xf numFmtId="0" fontId="20" fillId="3" borderId="23"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5" xfId="0" applyBorder="1" applyProtection="1"/>
    <xf numFmtId="0" fontId="37" fillId="11" borderId="49" xfId="0" applyFont="1" applyFill="1" applyBorder="1" applyAlignment="1" applyProtection="1">
      <alignment horizontal="left" vertical="center" wrapText="1"/>
    </xf>
    <xf numFmtId="0" fontId="37" fillId="11" borderId="9" xfId="0" applyFont="1" applyFill="1" applyBorder="1" applyAlignment="1" applyProtection="1">
      <alignment horizontal="left" vertical="center" wrapText="1"/>
    </xf>
    <xf numFmtId="0" fontId="37" fillId="11" borderId="7" xfId="0" applyFont="1" applyFill="1" applyBorder="1" applyAlignment="1" applyProtection="1">
      <alignment horizontal="left" vertical="center" wrapText="1"/>
    </xf>
    <xf numFmtId="0" fontId="38" fillId="0" borderId="8" xfId="0" applyFont="1" applyBorder="1" applyAlignment="1" applyProtection="1">
      <alignment horizontal="left" vertical="center"/>
    </xf>
    <xf numFmtId="0" fontId="34" fillId="8" borderId="9" xfId="4" applyFont="1" applyBorder="1" applyAlignment="1" applyProtection="1">
      <alignment horizontal="center" vertical="center"/>
      <protection locked="0"/>
    </xf>
    <xf numFmtId="0" fontId="39" fillId="8" borderId="9" xfId="4" applyFont="1" applyBorder="1" applyAlignment="1" applyProtection="1">
      <alignment horizontal="center" vertical="center"/>
      <protection locked="0"/>
    </xf>
    <xf numFmtId="0" fontId="39" fillId="8" borderId="6" xfId="4" applyFont="1" applyBorder="1" applyAlignment="1" applyProtection="1">
      <alignment horizontal="center" vertical="center"/>
      <protection locked="0"/>
    </xf>
    <xf numFmtId="0" fontId="38" fillId="0" borderId="52" xfId="0" applyFont="1" applyBorder="1" applyAlignment="1" applyProtection="1">
      <alignment horizontal="left" vertical="center"/>
    </xf>
    <xf numFmtId="0" fontId="34" fillId="12" borderId="9" xfId="4" applyFont="1" applyFill="1" applyBorder="1" applyAlignment="1" applyProtection="1">
      <alignment horizontal="center" vertical="center"/>
      <protection locked="0"/>
    </xf>
    <xf numFmtId="0" fontId="39" fillId="12" borderId="9" xfId="4" applyFont="1" applyFill="1" applyBorder="1" applyAlignment="1" applyProtection="1">
      <alignment horizontal="center" vertical="center"/>
      <protection locked="0"/>
    </xf>
    <xf numFmtId="0" fontId="39" fillId="12" borderId="6" xfId="4" applyFont="1" applyFill="1" applyBorder="1" applyAlignment="1" applyProtection="1">
      <alignment horizontal="center" vertical="center"/>
      <protection locked="0"/>
    </xf>
    <xf numFmtId="0" fontId="40" fillId="0" borderId="9" xfId="0" applyFont="1" applyBorder="1" applyAlignment="1" applyProtection="1">
      <alignment horizontal="left" vertical="center"/>
    </xf>
    <xf numFmtId="10" fontId="39" fillId="8" borderId="9" xfId="4" applyNumberFormat="1" applyFont="1" applyBorder="1" applyAlignment="1" applyProtection="1">
      <alignment horizontal="center" vertical="center"/>
      <protection locked="0"/>
    </xf>
    <xf numFmtId="10" fontId="39" fillId="8" borderId="6" xfId="4" applyNumberFormat="1" applyFont="1" applyBorder="1" applyAlignment="1" applyProtection="1">
      <alignment horizontal="center" vertical="center"/>
      <protection locked="0"/>
    </xf>
    <xf numFmtId="0" fontId="40" fillId="0" borderId="49" xfId="0" applyFont="1" applyBorder="1" applyAlignment="1" applyProtection="1">
      <alignment horizontal="left" vertical="center"/>
    </xf>
    <xf numFmtId="10" fontId="39" fillId="12" borderId="9" xfId="4" applyNumberFormat="1" applyFont="1" applyFill="1" applyBorder="1" applyAlignment="1" applyProtection="1">
      <alignment horizontal="center" vertical="center"/>
      <protection locked="0"/>
    </xf>
    <xf numFmtId="10" fontId="39"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7" fillId="11" borderId="53" xfId="0" applyFont="1" applyFill="1" applyBorder="1" applyAlignment="1" applyProtection="1">
      <alignment horizontal="center" vertical="center" wrapText="1"/>
    </xf>
    <xf numFmtId="0" fontId="37" fillId="11" borderId="37" xfId="0" applyFont="1" applyFill="1" applyBorder="1" applyAlignment="1" applyProtection="1">
      <alignment horizontal="center" vertical="center" wrapText="1"/>
    </xf>
    <xf numFmtId="0" fontId="38" fillId="0" borderId="9" xfId="0" applyFont="1" applyFill="1" applyBorder="1" applyAlignment="1" applyProtection="1">
      <alignment vertical="center" wrapText="1"/>
    </xf>
    <xf numFmtId="0" fontId="34" fillId="8" borderId="9" xfId="4" applyBorder="1" applyAlignment="1" applyProtection="1">
      <alignment wrapText="1"/>
      <protection locked="0"/>
    </xf>
    <xf numFmtId="0" fontId="34" fillId="12" borderId="9" xfId="4" applyFill="1" applyBorder="1" applyAlignment="1" applyProtection="1">
      <alignment wrapText="1"/>
      <protection locked="0"/>
    </xf>
    <xf numFmtId="0" fontId="41" fillId="2" borderId="9" xfId="0" applyFont="1" applyFill="1" applyBorder="1" applyAlignment="1" applyProtection="1">
      <alignment vertical="center" wrapText="1"/>
    </xf>
    <xf numFmtId="10" fontId="34" fillId="8" borderId="9" xfId="4" applyNumberFormat="1" applyBorder="1" applyAlignment="1" applyProtection="1">
      <alignment horizontal="center" vertical="center" wrapText="1"/>
      <protection locked="0"/>
    </xf>
    <xf numFmtId="10" fontId="34" fillId="12" borderId="9" xfId="4" applyNumberFormat="1"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7" fillId="11" borderId="9" xfId="0" applyFont="1" applyFill="1" applyBorder="1" applyAlignment="1" applyProtection="1">
      <alignment horizontal="center" vertical="center" wrapText="1"/>
    </xf>
    <xf numFmtId="0" fontId="37" fillId="11" borderId="6" xfId="0" applyFont="1" applyFill="1" applyBorder="1" applyAlignment="1" applyProtection="1">
      <alignment horizontal="center" vertical="center" wrapText="1"/>
    </xf>
    <xf numFmtId="0" fontId="42" fillId="8" borderId="45" xfId="4" applyFont="1" applyBorder="1" applyAlignment="1" applyProtection="1">
      <alignment vertical="center" wrapText="1"/>
      <protection locked="0"/>
    </xf>
    <xf numFmtId="0" fontId="42" fillId="8" borderId="9" xfId="4" applyFont="1" applyBorder="1" applyAlignment="1" applyProtection="1">
      <alignment horizontal="center" vertical="center"/>
      <protection locked="0"/>
    </xf>
    <xf numFmtId="0" fontId="42" fillId="8" borderId="6" xfId="4" applyFont="1" applyBorder="1" applyAlignment="1" applyProtection="1">
      <alignment horizontal="center" vertical="center"/>
      <protection locked="0"/>
    </xf>
    <xf numFmtId="0" fontId="42" fillId="12" borderId="9" xfId="4" applyFont="1" applyFill="1" applyBorder="1" applyAlignment="1" applyProtection="1">
      <alignment horizontal="center" vertical="center"/>
      <protection locked="0"/>
    </xf>
    <xf numFmtId="0" fontId="42" fillId="12" borderId="45" xfId="4" applyFont="1" applyFill="1" applyBorder="1" applyAlignment="1" applyProtection="1">
      <alignment vertical="center" wrapText="1"/>
      <protection locked="0"/>
    </xf>
    <xf numFmtId="0" fontId="42" fillId="12" borderId="6" xfId="4" applyFont="1" applyFill="1" applyBorder="1" applyAlignment="1" applyProtection="1">
      <alignment horizontal="center" vertical="center"/>
      <protection locked="0"/>
    </xf>
    <xf numFmtId="0" fontId="42" fillId="8" borderId="6" xfId="4" applyFont="1" applyBorder="1" applyAlignment="1" applyProtection="1">
      <alignment vertical="center"/>
      <protection locked="0"/>
    </xf>
    <xf numFmtId="0" fontId="42" fillId="12" borderId="6" xfId="4" applyFont="1" applyFill="1" applyBorder="1" applyAlignment="1" applyProtection="1">
      <alignment vertical="center"/>
      <protection locked="0"/>
    </xf>
    <xf numFmtId="0" fontId="42" fillId="8" borderId="33" xfId="4" applyFont="1" applyBorder="1" applyAlignment="1" applyProtection="1">
      <alignment vertical="center"/>
      <protection locked="0"/>
    </xf>
    <xf numFmtId="0" fontId="42" fillId="12" borderId="33"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7" fillId="11" borderId="53" xfId="0" applyFont="1" applyFill="1" applyBorder="1" applyAlignment="1" applyProtection="1">
      <alignment horizontal="center" vertical="center"/>
    </xf>
    <xf numFmtId="0" fontId="37" fillId="11" borderId="7" xfId="0" applyFont="1" applyFill="1" applyBorder="1" applyAlignment="1" applyProtection="1">
      <alignment horizontal="center" vertical="center"/>
    </xf>
    <xf numFmtId="0" fontId="37" fillId="11" borderId="49" xfId="0" applyFont="1" applyFill="1" applyBorder="1" applyAlignment="1" applyProtection="1">
      <alignment horizontal="center" vertical="center" wrapText="1"/>
    </xf>
    <xf numFmtId="0" fontId="34" fillId="8" borderId="9" xfId="4" applyBorder="1" applyAlignment="1" applyProtection="1">
      <alignment horizontal="center" vertical="center"/>
      <protection locked="0"/>
    </xf>
    <xf numFmtId="10" fontId="34" fillId="8" borderId="9" xfId="4" applyNumberFormat="1" applyBorder="1" applyAlignment="1" applyProtection="1">
      <alignment horizontal="center" vertical="center"/>
      <protection locked="0"/>
    </xf>
    <xf numFmtId="0" fontId="34" fillId="12" borderId="9" xfId="4" applyFill="1" applyBorder="1" applyAlignment="1" applyProtection="1">
      <alignment horizontal="center" vertical="center"/>
      <protection locked="0"/>
    </xf>
    <xf numFmtId="10" fontId="34" fillId="12" borderId="9" xfId="4" applyNumberFormat="1" applyFill="1" applyBorder="1" applyAlignment="1" applyProtection="1">
      <alignment horizontal="center" vertical="center"/>
      <protection locked="0"/>
    </xf>
    <xf numFmtId="0" fontId="37" fillId="11" borderId="34" xfId="0" applyFont="1" applyFill="1" applyBorder="1" applyAlignment="1" applyProtection="1">
      <alignment horizontal="center" vertical="center" wrapText="1"/>
    </xf>
    <xf numFmtId="0" fontId="37" fillId="11" borderId="27" xfId="0" applyFont="1" applyFill="1" applyBorder="1" applyAlignment="1" applyProtection="1">
      <alignment horizontal="center" vertical="center" wrapText="1"/>
    </xf>
    <xf numFmtId="0" fontId="37" fillId="11" borderId="46" xfId="0" applyFont="1" applyFill="1" applyBorder="1" applyAlignment="1" applyProtection="1">
      <alignment horizontal="center" vertical="center" wrapText="1"/>
    </xf>
    <xf numFmtId="0" fontId="34" fillId="8" borderId="9" xfId="4" applyBorder="1" applyProtection="1">
      <protection locked="0"/>
    </xf>
    <xf numFmtId="0" fontId="42" fillId="8" borderId="27" xfId="4" applyFont="1" applyBorder="1" applyAlignment="1" applyProtection="1">
      <alignment vertical="center" wrapText="1"/>
      <protection locked="0"/>
    </xf>
    <xf numFmtId="0" fontId="42" fillId="8" borderId="46" xfId="4" applyFont="1" applyBorder="1" applyAlignment="1" applyProtection="1">
      <alignment horizontal="center" vertical="center"/>
      <protection locked="0"/>
    </xf>
    <xf numFmtId="0" fontId="34" fillId="12" borderId="9" xfId="4" applyFill="1" applyBorder="1" applyProtection="1">
      <protection locked="0"/>
    </xf>
    <xf numFmtId="0" fontId="42" fillId="12" borderId="27" xfId="4" applyFont="1" applyFill="1" applyBorder="1" applyAlignment="1" applyProtection="1">
      <alignment vertical="center" wrapText="1"/>
      <protection locked="0"/>
    </xf>
    <xf numFmtId="0" fontId="42" fillId="12" borderId="46"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7" fillId="11" borderId="5" xfId="0" applyFont="1" applyFill="1" applyBorder="1" applyAlignment="1" applyProtection="1">
      <alignment horizontal="center" vertical="center" wrapText="1"/>
    </xf>
    <xf numFmtId="0" fontId="37" fillId="11" borderId="26" xfId="0" applyFont="1" applyFill="1" applyBorder="1" applyAlignment="1" applyProtection="1">
      <alignment horizontal="center" vertical="center"/>
    </xf>
    <xf numFmtId="0" fontId="34" fillId="8" borderId="9" xfId="4" applyBorder="1" applyAlignment="1" applyProtection="1">
      <alignment vertical="center" wrapText="1"/>
      <protection locked="0"/>
    </xf>
    <xf numFmtId="0" fontId="34" fillId="8" borderId="45" xfId="4" applyBorder="1" applyAlignment="1" applyProtection="1">
      <alignment vertical="center" wrapText="1"/>
      <protection locked="0"/>
    </xf>
    <xf numFmtId="0" fontId="34" fillId="12" borderId="9" xfId="4" applyFill="1" applyBorder="1" applyAlignment="1" applyProtection="1">
      <alignment vertical="center" wrapText="1"/>
      <protection locked="0"/>
    </xf>
    <xf numFmtId="0" fontId="34" fillId="12" borderId="45" xfId="4" applyFill="1" applyBorder="1" applyAlignment="1" applyProtection="1">
      <alignment vertical="center" wrapText="1"/>
      <protection locked="0"/>
    </xf>
    <xf numFmtId="0" fontId="34" fillId="8" borderId="49" xfId="4" applyBorder="1" applyAlignment="1" applyProtection="1">
      <alignment horizontal="center" vertical="center"/>
      <protection locked="0"/>
    </xf>
    <xf numFmtId="0" fontId="34" fillId="8" borderId="6" xfId="4" applyBorder="1" applyAlignment="1" applyProtection="1">
      <alignment horizontal="center" vertical="center"/>
      <protection locked="0"/>
    </xf>
    <xf numFmtId="0" fontId="34" fillId="12" borderId="49" xfId="4" applyFill="1" applyBorder="1" applyAlignment="1" applyProtection="1">
      <alignment horizontal="center" vertical="center"/>
      <protection locked="0"/>
    </xf>
    <xf numFmtId="0" fontId="34"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7" fillId="11" borderId="37" xfId="0" applyFont="1" applyFill="1" applyBorder="1" applyAlignment="1" applyProtection="1">
      <alignment horizontal="center" vertical="center"/>
    </xf>
    <xf numFmtId="0" fontId="34" fillId="8" borderId="6" xfId="4" applyBorder="1" applyAlignment="1" applyProtection="1">
      <alignment vertical="center" wrapText="1"/>
      <protection locked="0"/>
    </xf>
    <xf numFmtId="0" fontId="34" fillId="12" borderId="27" xfId="4" applyFill="1" applyBorder="1" applyAlignment="1" applyProtection="1">
      <alignment horizontal="center" vertical="center" wrapText="1"/>
      <protection locked="0"/>
    </xf>
    <xf numFmtId="0" fontId="34" fillId="12" borderId="49" xfId="4" applyFill="1" applyBorder="1" applyAlignment="1" applyProtection="1">
      <alignment horizontal="center" vertical="center" wrapText="1"/>
      <protection locked="0"/>
    </xf>
    <xf numFmtId="0" fontId="34" fillId="12" borderId="6" xfId="4" applyFill="1" applyBorder="1" applyAlignment="1" applyProtection="1">
      <alignment vertical="center" wrapText="1"/>
      <protection locked="0"/>
    </xf>
    <xf numFmtId="0" fontId="37" fillId="11" borderId="35" xfId="0" applyFont="1" applyFill="1" applyBorder="1" applyAlignment="1" applyProtection="1">
      <alignment horizontal="center" vertical="center"/>
    </xf>
    <xf numFmtId="0" fontId="37" fillId="11" borderId="8" xfId="0" applyFont="1" applyFill="1" applyBorder="1" applyAlignment="1" applyProtection="1">
      <alignment horizontal="center" vertical="center" wrapText="1"/>
    </xf>
    <xf numFmtId="0" fontId="34" fillId="8" borderId="31" xfId="4" applyBorder="1" applyAlignment="1" applyProtection="1">
      <protection locked="0"/>
    </xf>
    <xf numFmtId="10" fontId="34" fillId="8" borderId="34" xfId="4" applyNumberFormat="1" applyBorder="1" applyAlignment="1" applyProtection="1">
      <alignment horizontal="center" vertical="center"/>
      <protection locked="0"/>
    </xf>
    <xf numFmtId="0" fontId="34" fillId="12" borderId="31" xfId="4" applyFill="1" applyBorder="1" applyAlignment="1" applyProtection="1">
      <protection locked="0"/>
    </xf>
    <xf numFmtId="10" fontId="34" fillId="12" borderId="34" xfId="4" applyNumberFormat="1" applyFill="1" applyBorder="1" applyAlignment="1" applyProtection="1">
      <alignment horizontal="center" vertical="center"/>
      <protection locked="0"/>
    </xf>
    <xf numFmtId="0" fontId="37" fillId="11" borderId="27" xfId="0" applyFont="1" applyFill="1" applyBorder="1" applyAlignment="1" applyProtection="1">
      <alignment horizontal="center" vertical="center"/>
    </xf>
    <xf numFmtId="0" fontId="37" fillId="11" borderId="9" xfId="0" applyFont="1" applyFill="1" applyBorder="1" applyAlignment="1" applyProtection="1">
      <alignment horizontal="center" wrapText="1"/>
    </xf>
    <xf numFmtId="0" fontId="37" fillId="11" borderId="6" xfId="0" applyFont="1" applyFill="1" applyBorder="1" applyAlignment="1" applyProtection="1">
      <alignment horizontal="center" wrapText="1"/>
    </xf>
    <xf numFmtId="0" fontId="37" fillId="11" borderId="49" xfId="0" applyFont="1" applyFill="1" applyBorder="1" applyAlignment="1" applyProtection="1">
      <alignment horizontal="center" wrapText="1"/>
    </xf>
    <xf numFmtId="0" fontId="42" fillId="8" borderId="9" xfId="4" applyFont="1" applyBorder="1" applyAlignment="1" applyProtection="1">
      <alignment horizontal="center" vertical="center" wrapText="1"/>
      <protection locked="0"/>
    </xf>
    <xf numFmtId="0" fontId="42" fillId="12" borderId="9" xfId="4" applyFont="1" applyFill="1" applyBorder="1" applyAlignment="1" applyProtection="1">
      <alignment horizontal="center" vertical="center" wrapText="1"/>
      <protection locked="0"/>
    </xf>
    <xf numFmtId="0" fontId="34" fillId="8" borderId="27" xfId="4" applyBorder="1" applyAlignment="1" applyProtection="1">
      <alignment vertical="center"/>
      <protection locked="0"/>
    </xf>
    <xf numFmtId="0" fontId="34" fillId="8" borderId="0" xfId="4" applyProtection="1"/>
    <xf numFmtId="0" fontId="32" fillId="6" borderId="0" xfId="2" applyProtection="1"/>
    <xf numFmtId="0" fontId="33" fillId="7" borderId="0" xfId="3" applyProtection="1"/>
    <xf numFmtId="0" fontId="0" fillId="0" borderId="0" xfId="0" applyAlignment="1" applyProtection="1">
      <alignment wrapText="1"/>
    </xf>
    <xf numFmtId="0" fontId="21" fillId="3" borderId="17" xfId="0" applyFont="1" applyFill="1" applyBorder="1" applyAlignment="1">
      <alignment vertical="top" wrapText="1"/>
    </xf>
    <xf numFmtId="0" fontId="21" fillId="3" borderId="18" xfId="0" applyFont="1" applyFill="1" applyBorder="1" applyAlignment="1">
      <alignment vertical="top" wrapText="1"/>
    </xf>
    <xf numFmtId="0" fontId="19" fillId="3" borderId="22" xfId="1" applyFill="1" applyBorder="1" applyAlignment="1" applyProtection="1">
      <alignment vertical="top" wrapText="1"/>
    </xf>
    <xf numFmtId="0" fontId="19" fillId="3" borderId="23" xfId="1" applyFill="1" applyBorder="1" applyAlignment="1" applyProtection="1">
      <alignment vertical="top" wrapText="1"/>
    </xf>
    <xf numFmtId="0" fontId="37" fillId="11" borderId="27" xfId="0" applyFont="1" applyFill="1" applyBorder="1" applyAlignment="1" applyProtection="1">
      <alignment horizontal="center" vertical="center" wrapText="1"/>
    </xf>
    <xf numFmtId="0" fontId="34" fillId="12" borderId="46" xfId="4" applyFill="1" applyBorder="1" applyAlignment="1" applyProtection="1">
      <alignment horizontal="center" vertical="center"/>
      <protection locked="0"/>
    </xf>
    <xf numFmtId="0" fontId="0" fillId="10" borderId="1" xfId="0" applyFill="1" applyBorder="1" applyProtection="1"/>
    <xf numFmtId="0" fontId="34" fillId="12" borderId="49" xfId="4" applyFill="1" applyBorder="1" applyAlignment="1" applyProtection="1">
      <alignment vertical="center"/>
      <protection locked="0"/>
    </xf>
    <xf numFmtId="0" fontId="0" fillId="0" borderId="0" xfId="0" applyAlignment="1">
      <alignment vertical="center" wrapText="1"/>
    </xf>
    <xf numFmtId="0" fontId="2" fillId="2" borderId="29" xfId="0" applyFont="1" applyFill="1" applyBorder="1" applyAlignment="1" applyProtection="1">
      <alignment horizontal="center" vertical="center" wrapText="1"/>
    </xf>
    <xf numFmtId="14" fontId="3" fillId="0" borderId="0" xfId="0" applyNumberFormat="1" applyFont="1" applyProtection="1"/>
    <xf numFmtId="0" fontId="50" fillId="0" borderId="0" xfId="0" applyFont="1"/>
    <xf numFmtId="0" fontId="53" fillId="13" borderId="57" xfId="0" applyFont="1" applyFill="1" applyBorder="1" applyAlignment="1">
      <alignment horizontal="center" vertical="center" wrapText="1"/>
    </xf>
    <xf numFmtId="0" fontId="56" fillId="14" borderId="9" xfId="0" applyFont="1" applyFill="1" applyBorder="1" applyAlignment="1"/>
    <xf numFmtId="166" fontId="57" fillId="0" borderId="9" xfId="5" applyNumberFormat="1" applyFont="1" applyFill="1" applyBorder="1" applyAlignment="1">
      <alignment horizontal="right"/>
    </xf>
    <xf numFmtId="0" fontId="58" fillId="14" borderId="9" xfId="0" applyFont="1" applyFill="1" applyBorder="1" applyAlignment="1"/>
    <xf numFmtId="166" fontId="57" fillId="14" borderId="9" xfId="0" applyNumberFormat="1" applyFont="1" applyFill="1" applyBorder="1" applyAlignment="1">
      <alignment horizontal="right" vertical="top"/>
    </xf>
    <xf numFmtId="9" fontId="50" fillId="0" borderId="9" xfId="6" applyFont="1" applyBorder="1" applyAlignment="1">
      <alignment vertical="center"/>
    </xf>
    <xf numFmtId="0" fontId="58" fillId="0" borderId="9" xfId="0" applyFont="1" applyFill="1" applyBorder="1" applyAlignment="1"/>
    <xf numFmtId="166" fontId="57" fillId="0" borderId="9" xfId="0" applyNumberFormat="1" applyFont="1" applyFill="1" applyBorder="1" applyAlignment="1">
      <alignment horizontal="right" vertical="top"/>
    </xf>
    <xf numFmtId="9" fontId="50" fillId="0" borderId="9" xfId="6" applyFont="1" applyFill="1" applyBorder="1" applyAlignment="1">
      <alignment vertical="center"/>
    </xf>
    <xf numFmtId="3" fontId="0" fillId="0" borderId="0" xfId="0" applyNumberFormat="1"/>
    <xf numFmtId="0" fontId="56" fillId="14" borderId="9" xfId="0" applyFont="1" applyFill="1" applyBorder="1" applyAlignment="1">
      <alignment horizontal="center"/>
    </xf>
    <xf numFmtId="9" fontId="0" fillId="0" borderId="0" xfId="6" applyNumberFormat="1" applyFont="1"/>
    <xf numFmtId="164" fontId="57" fillId="0" borderId="9" xfId="5" applyNumberFormat="1" applyFont="1" applyFill="1" applyBorder="1" applyAlignment="1">
      <alignment horizontal="right"/>
    </xf>
    <xf numFmtId="9" fontId="50" fillId="0" borderId="9" xfId="6" quotePrefix="1" applyFont="1" applyFill="1" applyBorder="1" applyAlignment="1">
      <alignment horizontal="center" vertical="center"/>
    </xf>
    <xf numFmtId="166" fontId="0" fillId="0" borderId="0" xfId="5" applyNumberFormat="1" applyFont="1" applyFill="1"/>
    <xf numFmtId="0" fontId="50" fillId="0" borderId="0" xfId="0" applyFont="1" applyFill="1"/>
    <xf numFmtId="166" fontId="57" fillId="14" borderId="9" xfId="5" applyNumberFormat="1" applyFont="1" applyFill="1" applyBorder="1" applyAlignment="1">
      <alignment horizontal="right"/>
    </xf>
    <xf numFmtId="166" fontId="57" fillId="14" borderId="34" xfId="5" applyNumberFormat="1" applyFont="1" applyFill="1" applyBorder="1" applyAlignment="1">
      <alignment horizontal="center" vertical="center"/>
    </xf>
    <xf numFmtId="166" fontId="57" fillId="14" borderId="50" xfId="5" applyNumberFormat="1" applyFont="1" applyFill="1" applyBorder="1" applyAlignment="1">
      <alignment horizontal="center" vertical="center"/>
    </xf>
    <xf numFmtId="166" fontId="57" fillId="14" borderId="53" xfId="5" applyNumberFormat="1" applyFont="1" applyFill="1" applyBorder="1" applyAlignment="1">
      <alignment horizontal="center" vertical="center"/>
    </xf>
    <xf numFmtId="166" fontId="57" fillId="15" borderId="9" xfId="5" applyNumberFormat="1" applyFont="1" applyFill="1" applyBorder="1" applyAlignment="1">
      <alignment horizontal="right"/>
    </xf>
    <xf numFmtId="164" fontId="0" fillId="0" borderId="0" xfId="5" applyFont="1"/>
    <xf numFmtId="166" fontId="57" fillId="0" borderId="9" xfId="5" applyNumberFormat="1" applyFont="1" applyFill="1" applyBorder="1" applyAlignment="1">
      <alignment horizontal="center" vertical="center"/>
    </xf>
    <xf numFmtId="3" fontId="52" fillId="13" borderId="9" xfId="0" applyNumberFormat="1" applyFont="1" applyFill="1" applyBorder="1" applyAlignment="1">
      <alignment horizontal="right"/>
    </xf>
    <xf numFmtId="0" fontId="52" fillId="13" borderId="9" xfId="0" quotePrefix="1" applyFont="1" applyFill="1" applyBorder="1" applyAlignment="1">
      <alignment horizontal="center"/>
    </xf>
    <xf numFmtId="3" fontId="59" fillId="13" borderId="9" xfId="0" applyNumberFormat="1" applyFont="1" applyFill="1" applyBorder="1" applyAlignment="1">
      <alignment horizontal="right"/>
    </xf>
    <xf numFmtId="9" fontId="60" fillId="13" borderId="9" xfId="6" applyFont="1" applyFill="1" applyBorder="1" applyAlignment="1">
      <alignment horizontal="right"/>
    </xf>
    <xf numFmtId="0" fontId="56" fillId="15" borderId="9" xfId="0" applyFont="1" applyFill="1" applyBorder="1" applyAlignment="1"/>
    <xf numFmtId="0" fontId="56" fillId="16" borderId="9" xfId="0" applyFont="1" applyFill="1" applyBorder="1" applyAlignment="1"/>
    <xf numFmtId="0" fontId="58" fillId="16" borderId="9" xfId="0" applyFont="1" applyFill="1" applyBorder="1" applyAlignment="1"/>
    <xf numFmtId="0" fontId="61" fillId="9" borderId="1" xfId="0" applyFont="1" applyFill="1" applyBorder="1" applyProtection="1">
      <protection locked="0"/>
    </xf>
    <xf numFmtId="0" fontId="63" fillId="2" borderId="44" xfId="0" applyFont="1" applyFill="1" applyBorder="1" applyAlignment="1" applyProtection="1">
      <alignment vertical="center" wrapText="1"/>
    </xf>
    <xf numFmtId="0" fontId="63" fillId="15" borderId="44" xfId="0" applyFont="1" applyFill="1" applyBorder="1" applyAlignment="1" applyProtection="1">
      <alignment vertical="center" wrapText="1"/>
    </xf>
    <xf numFmtId="166" fontId="57" fillId="14" borderId="34" xfId="5" applyNumberFormat="1" applyFont="1" applyFill="1" applyBorder="1" applyAlignment="1">
      <alignment horizontal="center" vertical="center"/>
    </xf>
    <xf numFmtId="166" fontId="57" fillId="14" borderId="53" xfId="5" applyNumberFormat="1" applyFont="1" applyFill="1" applyBorder="1" applyAlignment="1">
      <alignment horizontal="center" vertical="center"/>
    </xf>
    <xf numFmtId="166" fontId="57" fillId="14" borderId="50" xfId="5" applyNumberFormat="1" applyFont="1" applyFill="1" applyBorder="1" applyAlignment="1">
      <alignment horizontal="center" vertical="center"/>
    </xf>
    <xf numFmtId="0" fontId="2" fillId="3" borderId="0" xfId="0" applyFont="1" applyFill="1" applyBorder="1" applyAlignment="1" applyProtection="1">
      <alignment horizontal="left" vertical="center" wrapText="1"/>
    </xf>
    <xf numFmtId="0" fontId="37" fillId="11" borderId="27" xfId="0" applyFont="1" applyFill="1" applyBorder="1" applyAlignment="1" applyProtection="1">
      <alignment horizontal="center" vertical="center" wrapText="1"/>
    </xf>
    <xf numFmtId="0" fontId="37" fillId="11" borderId="46" xfId="0" applyFont="1" applyFill="1" applyBorder="1" applyAlignment="1" applyProtection="1">
      <alignment horizontal="center" vertical="center" wrapText="1"/>
    </xf>
    <xf numFmtId="0" fontId="42" fillId="8" borderId="27" xfId="4" applyFont="1" applyBorder="1" applyAlignment="1" applyProtection="1">
      <alignment horizontal="center" vertical="center" wrapText="1"/>
      <protection locked="0"/>
    </xf>
    <xf numFmtId="0" fontId="34" fillId="12" borderId="46" xfId="4" applyFill="1" applyBorder="1" applyAlignment="1" applyProtection="1">
      <alignment horizontal="center" vertical="center"/>
      <protection locked="0"/>
    </xf>
    <xf numFmtId="0" fontId="34" fillId="12" borderId="49" xfId="4"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4" fillId="12" borderId="49" xfId="4" applyFill="1" applyBorder="1" applyAlignment="1" applyProtection="1">
      <alignment horizontal="center" vertical="center"/>
      <protection locked="0"/>
    </xf>
    <xf numFmtId="0" fontId="34" fillId="8" borderId="49" xfId="4" applyBorder="1" applyAlignment="1" applyProtection="1">
      <alignment horizontal="center" vertical="center" wrapText="1"/>
      <protection locked="0"/>
    </xf>
    <xf numFmtId="0" fontId="37" fillId="11" borderId="49" xfId="0" applyFont="1" applyFill="1" applyBorder="1" applyAlignment="1" applyProtection="1">
      <alignment horizontal="center" vertical="center" wrapText="1"/>
    </xf>
    <xf numFmtId="166" fontId="57" fillId="18" borderId="9" xfId="5" applyNumberFormat="1" applyFont="1" applyFill="1" applyBorder="1" applyAlignment="1">
      <alignment horizontal="right"/>
    </xf>
    <xf numFmtId="166" fontId="57" fillId="16" borderId="9" xfId="5" applyNumberFormat="1" applyFont="1" applyFill="1" applyBorder="1" applyAlignment="1">
      <alignment horizontal="right"/>
    </xf>
    <xf numFmtId="166" fontId="0" fillId="0" borderId="0" xfId="5" applyNumberFormat="1" applyFont="1"/>
    <xf numFmtId="164" fontId="0" fillId="19" borderId="0" xfId="5" applyFont="1" applyFill="1"/>
    <xf numFmtId="164" fontId="0" fillId="19" borderId="0" xfId="0" applyNumberFormat="1" applyFill="1"/>
    <xf numFmtId="164" fontId="0" fillId="0" borderId="0" xfId="0" applyNumberFormat="1"/>
    <xf numFmtId="166" fontId="57" fillId="19" borderId="9" xfId="5" applyNumberFormat="1" applyFont="1" applyFill="1" applyBorder="1" applyAlignment="1">
      <alignment horizontal="right"/>
    </xf>
    <xf numFmtId="0" fontId="0" fillId="20" borderId="0" xfId="0" applyFill="1"/>
    <xf numFmtId="166" fontId="57" fillId="20" borderId="9" xfId="5" applyNumberFormat="1" applyFont="1" applyFill="1" applyBorder="1" applyAlignment="1">
      <alignment horizontal="right"/>
    </xf>
    <xf numFmtId="166" fontId="57" fillId="19" borderId="53" xfId="5" applyNumberFormat="1" applyFont="1" applyFill="1" applyBorder="1" applyAlignment="1">
      <alignment horizontal="center" vertical="center"/>
    </xf>
    <xf numFmtId="166" fontId="57" fillId="0" borderId="53" xfId="5" applyNumberFormat="1" applyFont="1" applyFill="1" applyBorder="1" applyAlignment="1">
      <alignment horizontal="center" vertical="center"/>
    </xf>
    <xf numFmtId="166" fontId="0" fillId="0" borderId="0" xfId="6" applyNumberFormat="1" applyFont="1"/>
    <xf numFmtId="166" fontId="0" fillId="0" borderId="0" xfId="0" applyNumberFormat="1"/>
    <xf numFmtId="164" fontId="0" fillId="0" borderId="0" xfId="5" applyFont="1" applyFill="1"/>
    <xf numFmtId="164" fontId="0" fillId="0" borderId="0" xfId="0" applyNumberFormat="1" applyFill="1"/>
    <xf numFmtId="164" fontId="66" fillId="0" borderId="0" xfId="0" applyNumberFormat="1" applyFont="1"/>
    <xf numFmtId="0" fontId="0" fillId="18" borderId="0" xfId="0" applyFill="1"/>
    <xf numFmtId="0" fontId="64" fillId="0" borderId="0" xfId="0" applyFont="1" applyProtection="1"/>
    <xf numFmtId="0" fontId="64" fillId="3" borderId="0" xfId="0" applyFont="1" applyFill="1" applyBorder="1" applyAlignment="1">
      <alignment vertical="center"/>
    </xf>
    <xf numFmtId="0" fontId="64" fillId="3" borderId="0" xfId="0" applyFont="1" applyFill="1" applyBorder="1"/>
    <xf numFmtId="0" fontId="64" fillId="9" borderId="1" xfId="0" applyFont="1" applyFill="1" applyBorder="1" applyProtection="1">
      <protection locked="0"/>
    </xf>
    <xf numFmtId="0" fontId="64" fillId="0" borderId="0" xfId="0" applyFont="1" applyAlignment="1" applyProtection="1">
      <alignment horizontal="left"/>
    </xf>
    <xf numFmtId="0" fontId="64" fillId="0" borderId="0" xfId="0" applyFont="1" applyBorder="1" applyAlignment="1" applyProtection="1">
      <alignment wrapText="1"/>
    </xf>
    <xf numFmtId="0" fontId="64" fillId="0" borderId="0" xfId="0" applyFont="1" applyBorder="1" applyAlignment="1" applyProtection="1">
      <alignment horizontal="left" vertical="center" wrapText="1"/>
    </xf>
    <xf numFmtId="0" fontId="69" fillId="8" borderId="9" xfId="4" applyFont="1" applyBorder="1" applyAlignment="1" applyProtection="1">
      <alignment vertical="center" wrapText="1"/>
      <protection locked="0"/>
    </xf>
    <xf numFmtId="0" fontId="40" fillId="0" borderId="9" xfId="0" applyFont="1" applyBorder="1" applyAlignment="1" applyProtection="1">
      <alignment horizontal="left" vertical="center" wrapText="1"/>
    </xf>
    <xf numFmtId="0" fontId="23" fillId="3" borderId="0" xfId="0" applyFont="1" applyFill="1" applyBorder="1" applyAlignment="1">
      <alignment vertical="center" wrapText="1"/>
    </xf>
    <xf numFmtId="0" fontId="0" fillId="3" borderId="0" xfId="0" applyFill="1" applyBorder="1" applyAlignment="1">
      <alignment wrapText="1"/>
    </xf>
    <xf numFmtId="0" fontId="0" fillId="0" borderId="15" xfId="0" applyBorder="1" applyAlignment="1" applyProtection="1">
      <alignment wrapText="1"/>
    </xf>
    <xf numFmtId="0" fontId="38" fillId="0" borderId="8" xfId="0" applyFont="1" applyBorder="1" applyAlignment="1" applyProtection="1">
      <alignment horizontal="left" vertical="center" wrapText="1"/>
    </xf>
    <xf numFmtId="0" fontId="34" fillId="8" borderId="9" xfId="4" applyBorder="1" applyAlignment="1" applyProtection="1">
      <alignment horizontal="center" vertical="center" wrapText="1"/>
      <protection locked="0"/>
    </xf>
    <xf numFmtId="0" fontId="37" fillId="11" borderId="26" xfId="0" applyFont="1" applyFill="1" applyBorder="1" applyAlignment="1" applyProtection="1">
      <alignment horizontal="center" vertical="center" wrapText="1"/>
    </xf>
    <xf numFmtId="0" fontId="0" fillId="0" borderId="0" xfId="0" applyAlignment="1">
      <alignment wrapText="1"/>
    </xf>
    <xf numFmtId="0" fontId="0" fillId="2" borderId="9" xfId="0" applyFill="1" applyBorder="1" applyAlignment="1">
      <alignment horizontal="center" vertical="center"/>
    </xf>
    <xf numFmtId="0" fontId="20" fillId="2" borderId="9" xfId="0" applyFont="1" applyFill="1" applyBorder="1" applyAlignment="1">
      <alignment vertical="center" wrapText="1"/>
    </xf>
    <xf numFmtId="0" fontId="1" fillId="5" borderId="25"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3" fillId="2" borderId="12" xfId="0" applyFont="1" applyFill="1" applyBorder="1" applyAlignment="1" applyProtection="1">
      <alignment vertical="top" wrapText="1"/>
    </xf>
    <xf numFmtId="0" fontId="3" fillId="2" borderId="3" xfId="0" applyFont="1" applyFill="1" applyBorder="1" applyAlignment="1" applyProtection="1">
      <alignment vertical="top" wrapText="1"/>
    </xf>
    <xf numFmtId="0" fontId="15" fillId="2" borderId="1" xfId="0" applyFont="1" applyFill="1" applyBorder="1" applyAlignment="1" applyProtection="1">
      <alignment horizontal="left" vertical="top" wrapText="1"/>
      <protection locked="0"/>
    </xf>
    <xf numFmtId="1" fontId="15" fillId="2" borderId="3" xfId="0" applyNumberFormat="1" applyFont="1" applyFill="1" applyBorder="1" applyAlignment="1" applyProtection="1">
      <alignment horizontal="left" vertical="center"/>
      <protection locked="0"/>
    </xf>
    <xf numFmtId="1" fontId="15" fillId="2" borderId="30" xfId="0" applyNumberFormat="1" applyFont="1" applyFill="1" applyBorder="1" applyAlignment="1" applyProtection="1">
      <alignment horizontal="left"/>
      <protection locked="0"/>
    </xf>
    <xf numFmtId="14" fontId="15" fillId="2" borderId="3" xfId="0" applyNumberFormat="1" applyFont="1" applyFill="1" applyBorder="1" applyAlignment="1" applyProtection="1">
      <alignment horizontal="center"/>
    </xf>
    <xf numFmtId="14" fontId="15" fillId="2" borderId="3" xfId="0" applyNumberFormat="1" applyFont="1" applyFill="1" applyBorder="1" applyAlignment="1" applyProtection="1">
      <alignment horizontal="center" vertical="center"/>
    </xf>
    <xf numFmtId="14" fontId="15" fillId="2" borderId="4" xfId="0" applyNumberFormat="1" applyFont="1" applyFill="1" applyBorder="1" applyAlignment="1" applyProtection="1">
      <alignment horizontal="center"/>
    </xf>
    <xf numFmtId="164" fontId="20" fillId="0" borderId="0" xfId="5" applyFont="1"/>
    <xf numFmtId="164" fontId="20" fillId="0" borderId="0" xfId="0" applyNumberFormat="1" applyFont="1"/>
    <xf numFmtId="0" fontId="19" fillId="0" borderId="0" xfId="1" applyAlignment="1" applyProtection="1"/>
    <xf numFmtId="0" fontId="19" fillId="2" borderId="3" xfId="1" applyFill="1" applyBorder="1" applyAlignment="1" applyProtection="1">
      <protection locked="0"/>
    </xf>
    <xf numFmtId="0" fontId="70" fillId="2" borderId="1" xfId="0" applyFont="1" applyFill="1" applyBorder="1" applyAlignment="1" applyProtection="1">
      <alignment horizontal="left" vertical="center" wrapText="1"/>
      <protection locked="0"/>
    </xf>
    <xf numFmtId="0" fontId="19" fillId="2" borderId="1" xfId="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34" fillId="12" borderId="9" xfId="4" applyFill="1"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166" fontId="80" fillId="21" borderId="9" xfId="5" applyNumberFormat="1" applyFont="1" applyFill="1" applyBorder="1" applyAlignment="1">
      <alignment horizontal="right" vertical="center"/>
    </xf>
    <xf numFmtId="0" fontId="63" fillId="17" borderId="41" xfId="0" applyFont="1" applyFill="1" applyBorder="1" applyAlignment="1" applyProtection="1">
      <alignment vertical="center" wrapText="1"/>
    </xf>
    <xf numFmtId="0" fontId="63" fillId="22" borderId="44" xfId="0" applyFont="1" applyFill="1" applyBorder="1" applyAlignment="1" applyProtection="1">
      <alignment vertical="center" wrapText="1"/>
    </xf>
    <xf numFmtId="0" fontId="63" fillId="2" borderId="38" xfId="0" applyFont="1" applyFill="1" applyBorder="1" applyAlignment="1" applyProtection="1">
      <alignment vertical="center" wrapText="1"/>
    </xf>
    <xf numFmtId="0" fontId="1" fillId="3" borderId="21" xfId="0" applyFont="1" applyFill="1" applyBorder="1" applyAlignment="1" applyProtection="1">
      <alignment vertical="center"/>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2" fillId="2" borderId="14" xfId="0" applyFont="1" applyFill="1" applyBorder="1" applyAlignment="1" applyProtection="1">
      <alignment horizontal="right" vertical="center" wrapText="1"/>
    </xf>
    <xf numFmtId="0" fontId="85" fillId="2" borderId="9" xfId="0" applyFont="1" applyFill="1" applyBorder="1" applyAlignment="1" applyProtection="1">
      <alignment horizontal="center" vertical="center" wrapText="1"/>
    </xf>
    <xf numFmtId="0" fontId="82" fillId="0" borderId="9" xfId="0" applyFont="1" applyFill="1" applyBorder="1" applyAlignment="1">
      <alignment horizontal="justify"/>
    </xf>
    <xf numFmtId="166" fontId="78" fillId="0" borderId="9" xfId="5" applyNumberFormat="1" applyFont="1" applyFill="1" applyBorder="1" applyAlignment="1">
      <alignment horizontal="right" vertical="center"/>
    </xf>
    <xf numFmtId="0" fontId="82" fillId="0" borderId="9" xfId="0" applyFont="1" applyFill="1" applyBorder="1" applyAlignment="1">
      <alignment horizontal="justify" wrapText="1"/>
    </xf>
    <xf numFmtId="166" fontId="86" fillId="2" borderId="15" xfId="5" applyNumberFormat="1" applyFont="1" applyFill="1" applyBorder="1" applyAlignment="1" applyProtection="1">
      <alignment vertical="top" wrapText="1"/>
    </xf>
    <xf numFmtId="0" fontId="2" fillId="2" borderId="9" xfId="0" applyFont="1" applyFill="1" applyBorder="1" applyAlignment="1" applyProtection="1">
      <alignment horizontal="right" vertical="center" wrapText="1"/>
    </xf>
    <xf numFmtId="166" fontId="2" fillId="2" borderId="9" xfId="5" applyNumberFormat="1" applyFont="1" applyFill="1" applyBorder="1" applyAlignment="1" applyProtection="1">
      <alignment vertical="top" wrapText="1"/>
    </xf>
    <xf numFmtId="9" fontId="0" fillId="0" borderId="0" xfId="6" applyFont="1" applyAlignment="1" applyProtection="1">
      <alignment horizontal="left"/>
    </xf>
    <xf numFmtId="0" fontId="34" fillId="12" borderId="9" xfId="4" applyFill="1" applyBorder="1" applyAlignment="1" applyProtection="1">
      <alignment horizontal="center" wrapText="1"/>
      <protection locked="0"/>
    </xf>
    <xf numFmtId="0" fontId="0" fillId="0" borderId="0" xfId="0" applyAlignment="1">
      <alignment vertical="center"/>
    </xf>
    <xf numFmtId="166" fontId="90" fillId="0" borderId="0" xfId="5" applyNumberFormat="1" applyFont="1"/>
    <xf numFmtId="166" fontId="0" fillId="0" borderId="0" xfId="5" applyNumberFormat="1" applyFont="1" applyAlignment="1">
      <alignment horizontal="center" vertical="center"/>
    </xf>
    <xf numFmtId="0" fontId="75" fillId="24" borderId="58" xfId="0" applyFont="1" applyFill="1" applyBorder="1" applyAlignment="1">
      <alignment horizontal="center" vertical="center"/>
    </xf>
    <xf numFmtId="0" fontId="75" fillId="24" borderId="8" xfId="0" applyFont="1" applyFill="1" applyBorder="1" applyAlignment="1">
      <alignment horizontal="center" vertical="center"/>
    </xf>
    <xf numFmtId="0" fontId="75" fillId="24" borderId="35" xfId="0" applyFont="1" applyFill="1" applyBorder="1" applyAlignment="1">
      <alignment horizontal="center" vertical="center"/>
    </xf>
    <xf numFmtId="0" fontId="75" fillId="24" borderId="7" xfId="0" applyFont="1" applyFill="1" applyBorder="1" applyAlignment="1">
      <alignment horizontal="center" vertical="center"/>
    </xf>
    <xf numFmtId="0" fontId="75" fillId="24" borderId="59" xfId="0" applyFont="1" applyFill="1" applyBorder="1" applyAlignment="1">
      <alignment horizontal="center" vertical="center" wrapText="1"/>
    </xf>
    <xf numFmtId="9" fontId="93" fillId="15" borderId="53" xfId="0" applyNumberFormat="1" applyFont="1" applyFill="1" applyBorder="1" applyAlignment="1">
      <alignment horizontal="center" vertical="center" wrapText="1"/>
    </xf>
    <xf numFmtId="0" fontId="75" fillId="24" borderId="53" xfId="0" applyFont="1" applyFill="1" applyBorder="1" applyAlignment="1">
      <alignment horizontal="center" vertical="center" wrapText="1"/>
    </xf>
    <xf numFmtId="9" fontId="75" fillId="25" borderId="37" xfId="0" applyNumberFormat="1" applyFont="1" applyFill="1" applyBorder="1" applyAlignment="1">
      <alignment horizontal="center" vertical="center" wrapText="1"/>
    </xf>
    <xf numFmtId="0" fontId="75" fillId="24" borderId="5" xfId="0" applyFont="1" applyFill="1" applyBorder="1" applyAlignment="1">
      <alignment horizontal="center" vertical="center" wrapText="1"/>
    </xf>
    <xf numFmtId="9" fontId="75" fillId="15" borderId="9" xfId="0" applyNumberFormat="1" applyFont="1" applyFill="1" applyBorder="1" applyAlignment="1">
      <alignment horizontal="center" vertical="center" wrapText="1"/>
    </xf>
    <xf numFmtId="0" fontId="75" fillId="24" borderId="9" xfId="0" applyFont="1" applyFill="1" applyBorder="1" applyAlignment="1">
      <alignment horizontal="center" vertical="center" wrapText="1"/>
    </xf>
    <xf numFmtId="9" fontId="75" fillId="25" borderId="6" xfId="0" applyNumberFormat="1" applyFont="1" applyFill="1" applyBorder="1" applyAlignment="1">
      <alignment horizontal="center" vertical="center" wrapText="1"/>
    </xf>
    <xf numFmtId="166" fontId="75" fillId="24" borderId="9" xfId="5" applyNumberFormat="1" applyFont="1" applyFill="1" applyBorder="1" applyAlignment="1">
      <alignment horizontal="center" vertical="center" wrapText="1"/>
    </xf>
    <xf numFmtId="166" fontId="75" fillId="24" borderId="0" xfId="5" applyNumberFormat="1" applyFont="1" applyFill="1" applyBorder="1" applyAlignment="1">
      <alignment horizontal="center" vertical="center" wrapText="1"/>
    </xf>
    <xf numFmtId="0" fontId="94" fillId="27" borderId="6" xfId="0" applyFont="1" applyFill="1" applyBorder="1" applyAlignment="1">
      <alignment wrapText="1"/>
    </xf>
    <xf numFmtId="166" fontId="92" fillId="27" borderId="5" xfId="5" applyNumberFormat="1" applyFont="1" applyFill="1" applyBorder="1" applyAlignment="1">
      <alignment horizontal="right" vertical="center"/>
    </xf>
    <xf numFmtId="9" fontId="90" fillId="15" borderId="9" xfId="6" applyFont="1" applyFill="1" applyBorder="1" applyAlignment="1">
      <alignment horizontal="center" vertical="center"/>
    </xf>
    <xf numFmtId="166" fontId="92" fillId="27" borderId="9" xfId="5" applyNumberFormat="1" applyFont="1" applyFill="1" applyBorder="1" applyAlignment="1">
      <alignment horizontal="right" vertical="center"/>
    </xf>
    <xf numFmtId="9" fontId="0" fillId="25" borderId="6" xfId="6" applyFont="1" applyFill="1" applyBorder="1" applyAlignment="1">
      <alignment horizontal="center" vertical="center"/>
    </xf>
    <xf numFmtId="9" fontId="0" fillId="15" borderId="9" xfId="6" applyFont="1" applyFill="1" applyBorder="1" applyAlignment="1">
      <alignment horizontal="center" vertical="center"/>
    </xf>
    <xf numFmtId="0" fontId="0" fillId="25" borderId="6" xfId="0" quotePrefix="1" applyFill="1" applyBorder="1" applyAlignment="1">
      <alignment horizontal="center" vertical="center"/>
    </xf>
    <xf numFmtId="166" fontId="78" fillId="27" borderId="5" xfId="5" applyNumberFormat="1" applyFont="1" applyFill="1" applyBorder="1" applyAlignment="1">
      <alignment horizontal="right" vertical="center"/>
    </xf>
    <xf numFmtId="166" fontId="78" fillId="27" borderId="9" xfId="5" applyNumberFormat="1" applyFont="1" applyFill="1" applyBorder="1" applyAlignment="1">
      <alignment horizontal="right" vertical="center"/>
    </xf>
    <xf numFmtId="166" fontId="78" fillId="27" borderId="6" xfId="5" applyNumberFormat="1" applyFont="1" applyFill="1" applyBorder="1" applyAlignment="1">
      <alignment horizontal="right" vertical="center"/>
    </xf>
    <xf numFmtId="166" fontId="0" fillId="18" borderId="0" xfId="5" applyNumberFormat="1" applyFont="1" applyFill="1"/>
    <xf numFmtId="166" fontId="79" fillId="27" borderId="27" xfId="5" applyNumberFormat="1" applyFont="1" applyFill="1" applyBorder="1" applyAlignment="1">
      <alignment horizontal="right" vertical="center"/>
    </xf>
    <xf numFmtId="9" fontId="0" fillId="0" borderId="0" xfId="6" applyFont="1" applyAlignment="1">
      <alignment horizontal="center"/>
    </xf>
    <xf numFmtId="166" fontId="0" fillId="26" borderId="9" xfId="5" applyNumberFormat="1" applyFont="1" applyFill="1" applyBorder="1" applyAlignment="1">
      <alignment horizontal="center" vertical="center"/>
    </xf>
    <xf numFmtId="166" fontId="0" fillId="26" borderId="0" xfId="5" applyNumberFormat="1" applyFont="1" applyFill="1" applyBorder="1" applyAlignment="1">
      <alignment horizontal="center" vertical="center"/>
    </xf>
    <xf numFmtId="9" fontId="0" fillId="15" borderId="9" xfId="6" quotePrefix="1" applyFont="1" applyFill="1" applyBorder="1" applyAlignment="1">
      <alignment horizontal="center" vertical="center"/>
    </xf>
    <xf numFmtId="166" fontId="92" fillId="27" borderId="44" xfId="5" quotePrefix="1" applyNumberFormat="1" applyFont="1" applyFill="1" applyBorder="1" applyAlignment="1">
      <alignment horizontal="center" vertical="center"/>
    </xf>
    <xf numFmtId="0" fontId="90" fillId="15" borderId="9" xfId="0" quotePrefix="1" applyFont="1" applyFill="1" applyBorder="1" applyAlignment="1">
      <alignment horizontal="center" vertical="center"/>
    </xf>
    <xf numFmtId="166" fontId="92" fillId="27" borderId="27" xfId="5" quotePrefix="1" applyNumberFormat="1" applyFont="1" applyFill="1" applyBorder="1" applyAlignment="1">
      <alignment horizontal="center" vertical="center"/>
    </xf>
    <xf numFmtId="0" fontId="0" fillId="15" borderId="9" xfId="0" quotePrefix="1" applyFill="1" applyBorder="1" applyAlignment="1">
      <alignment horizontal="center" vertical="center"/>
    </xf>
    <xf numFmtId="166" fontId="79" fillId="27" borderId="27" xfId="5" quotePrefix="1" applyNumberFormat="1" applyFont="1" applyFill="1" applyBorder="1" applyAlignment="1">
      <alignment horizontal="center" vertical="center"/>
    </xf>
    <xf numFmtId="9" fontId="0" fillId="25" borderId="6" xfId="6" quotePrefix="1" applyFont="1" applyFill="1" applyBorder="1" applyAlignment="1">
      <alignment horizontal="center" vertical="center"/>
    </xf>
    <xf numFmtId="166" fontId="79" fillId="27" borderId="6" xfId="5" quotePrefix="1" applyNumberFormat="1" applyFont="1" applyFill="1" applyBorder="1" applyAlignment="1">
      <alignment horizontal="center" vertical="center"/>
    </xf>
    <xf numFmtId="166" fontId="97" fillId="27" borderId="6" xfId="5" applyNumberFormat="1" applyFont="1" applyFill="1" applyBorder="1" applyAlignment="1">
      <alignment horizontal="right" vertical="center"/>
    </xf>
    <xf numFmtId="166" fontId="0" fillId="23" borderId="0" xfId="5" applyNumberFormat="1" applyFont="1" applyFill="1"/>
    <xf numFmtId="166" fontId="79" fillId="27" borderId="6" xfId="5" applyNumberFormat="1" applyFont="1" applyFill="1" applyBorder="1" applyAlignment="1">
      <alignment horizontal="right" vertical="center"/>
    </xf>
    <xf numFmtId="166" fontId="55" fillId="27" borderId="6" xfId="5" applyNumberFormat="1" applyFont="1" applyFill="1" applyBorder="1" applyAlignment="1">
      <alignment horizontal="right" vertical="center"/>
    </xf>
    <xf numFmtId="166" fontId="101" fillId="28" borderId="0" xfId="5" applyNumberFormat="1" applyFont="1" applyFill="1"/>
    <xf numFmtId="0" fontId="101" fillId="28" borderId="0" xfId="0" applyFont="1" applyFill="1"/>
    <xf numFmtId="166" fontId="51" fillId="28" borderId="5" xfId="5" applyNumberFormat="1" applyFont="1" applyFill="1" applyBorder="1" applyAlignment="1">
      <alignment horizontal="right" vertical="center"/>
    </xf>
    <xf numFmtId="9" fontId="101" fillId="28" borderId="9" xfId="6" applyFont="1" applyFill="1" applyBorder="1" applyAlignment="1">
      <alignment horizontal="center" vertical="center"/>
    </xf>
    <xf numFmtId="166" fontId="51" fillId="28" borderId="9" xfId="5" applyNumberFormat="1" applyFont="1" applyFill="1" applyBorder="1" applyAlignment="1">
      <alignment horizontal="right" vertical="center"/>
    </xf>
    <xf numFmtId="9" fontId="101" fillId="28" borderId="6" xfId="6" applyFont="1" applyFill="1" applyBorder="1" applyAlignment="1">
      <alignment horizontal="center" vertical="center"/>
    </xf>
    <xf numFmtId="166" fontId="51" fillId="28" borderId="6" xfId="5" applyNumberFormat="1" applyFont="1" applyFill="1" applyBorder="1" applyAlignment="1">
      <alignment horizontal="right" vertical="center"/>
    </xf>
    <xf numFmtId="166" fontId="64" fillId="0" borderId="0" xfId="5" applyNumberFormat="1" applyFont="1"/>
    <xf numFmtId="166" fontId="99" fillId="28" borderId="9" xfId="5" applyNumberFormat="1" applyFont="1" applyFill="1" applyBorder="1" applyAlignment="1">
      <alignment horizontal="right" vertical="center"/>
    </xf>
    <xf numFmtId="166" fontId="51" fillId="28" borderId="27" xfId="5" applyNumberFormat="1" applyFont="1" applyFill="1" applyBorder="1" applyAlignment="1">
      <alignment horizontal="right" vertical="center"/>
    </xf>
    <xf numFmtId="166" fontId="51" fillId="28" borderId="0" xfId="5" applyNumberFormat="1" applyFont="1" applyFill="1" applyBorder="1" applyAlignment="1">
      <alignment horizontal="right" vertical="center"/>
    </xf>
    <xf numFmtId="0" fontId="58" fillId="29" borderId="27" xfId="0" applyFont="1" applyFill="1" applyBorder="1" applyAlignment="1">
      <alignment horizontal="left" vertical="center" wrapText="1"/>
    </xf>
    <xf numFmtId="0" fontId="94" fillId="29" borderId="6" xfId="0" applyFont="1" applyFill="1" applyBorder="1" applyAlignment="1">
      <alignment vertical="center" wrapText="1"/>
    </xf>
    <xf numFmtId="166" fontId="79" fillId="29" borderId="5" xfId="5" applyNumberFormat="1" applyFont="1" applyFill="1" applyBorder="1" applyAlignment="1">
      <alignment horizontal="right" vertical="center"/>
    </xf>
    <xf numFmtId="166" fontId="79" fillId="29" borderId="9" xfId="5" applyNumberFormat="1" applyFont="1" applyFill="1" applyBorder="1" applyAlignment="1">
      <alignment horizontal="right" vertical="center"/>
    </xf>
    <xf numFmtId="166" fontId="79" fillId="29" borderId="6" xfId="5" applyNumberFormat="1" applyFont="1" applyFill="1" applyBorder="1" applyAlignment="1">
      <alignment horizontal="right" vertical="center"/>
    </xf>
    <xf numFmtId="166" fontId="92" fillId="29" borderId="9" xfId="5" applyNumberFormat="1" applyFont="1" applyFill="1" applyBorder="1" applyAlignment="1">
      <alignment horizontal="right" vertical="center"/>
    </xf>
    <xf numFmtId="166" fontId="79" fillId="3" borderId="27" xfId="5" applyNumberFormat="1" applyFont="1" applyFill="1" applyBorder="1" applyAlignment="1">
      <alignment horizontal="right" vertical="center"/>
    </xf>
    <xf numFmtId="166" fontId="0" fillId="3" borderId="9" xfId="5" applyNumberFormat="1" applyFont="1" applyFill="1" applyBorder="1" applyAlignment="1">
      <alignment horizontal="center" vertical="center"/>
    </xf>
    <xf numFmtId="166" fontId="0" fillId="3" borderId="0" xfId="5" applyNumberFormat="1" applyFont="1" applyFill="1" applyBorder="1" applyAlignment="1">
      <alignment horizontal="center" vertical="center"/>
    </xf>
    <xf numFmtId="166" fontId="75" fillId="29" borderId="5" xfId="5" applyNumberFormat="1" applyFont="1" applyFill="1" applyBorder="1" applyAlignment="1">
      <alignment horizontal="right" vertical="center"/>
    </xf>
    <xf numFmtId="9" fontId="0" fillId="23" borderId="9" xfId="6" applyFont="1" applyFill="1" applyBorder="1" applyAlignment="1">
      <alignment horizontal="center" vertical="center"/>
    </xf>
    <xf numFmtId="166" fontId="55" fillId="29" borderId="5" xfId="5" applyNumberFormat="1" applyFont="1" applyFill="1" applyBorder="1" applyAlignment="1">
      <alignment horizontal="right" vertical="center"/>
    </xf>
    <xf numFmtId="166" fontId="55" fillId="29" borderId="9" xfId="5" applyNumberFormat="1" applyFont="1" applyFill="1" applyBorder="1" applyAlignment="1">
      <alignment horizontal="right" vertical="center"/>
    </xf>
    <xf numFmtId="166" fontId="55" fillId="29" borderId="6" xfId="5" applyNumberFormat="1" applyFont="1" applyFill="1" applyBorder="1" applyAlignment="1">
      <alignment horizontal="right" vertical="center"/>
    </xf>
    <xf numFmtId="9" fontId="0" fillId="0" borderId="0" xfId="6" applyFont="1"/>
    <xf numFmtId="0" fontId="58" fillId="30" borderId="27" xfId="0" applyFont="1" applyFill="1" applyBorder="1" applyAlignment="1">
      <alignment horizontal="left" vertical="center" wrapText="1"/>
    </xf>
    <xf numFmtId="0" fontId="94" fillId="30" borderId="6" xfId="0" applyFont="1" applyFill="1" applyBorder="1" applyAlignment="1">
      <alignment horizontal="left" vertical="center" wrapText="1"/>
    </xf>
    <xf numFmtId="166" fontId="79" fillId="30" borderId="5" xfId="5" applyNumberFormat="1" applyFont="1" applyFill="1" applyBorder="1" applyAlignment="1">
      <alignment horizontal="center" vertical="center" wrapText="1"/>
    </xf>
    <xf numFmtId="166" fontId="79" fillId="30" borderId="9" xfId="5" applyNumberFormat="1" applyFont="1" applyFill="1" applyBorder="1" applyAlignment="1">
      <alignment horizontal="center" vertical="center" wrapText="1"/>
    </xf>
    <xf numFmtId="166" fontId="79" fillId="30" borderId="6" xfId="5" applyNumberFormat="1" applyFont="1" applyFill="1" applyBorder="1" applyAlignment="1">
      <alignment horizontal="center" vertical="center" wrapText="1"/>
    </xf>
    <xf numFmtId="166" fontId="92" fillId="30" borderId="9" xfId="5" applyNumberFormat="1" applyFont="1" applyFill="1" applyBorder="1" applyAlignment="1">
      <alignment horizontal="center" vertical="center" wrapText="1"/>
    </xf>
    <xf numFmtId="166" fontId="79" fillId="31" borderId="27" xfId="5" applyNumberFormat="1" applyFont="1" applyFill="1" applyBorder="1" applyAlignment="1">
      <alignment horizontal="center" vertical="center"/>
    </xf>
    <xf numFmtId="166" fontId="0" fillId="31" borderId="9" xfId="5" applyNumberFormat="1" applyFont="1" applyFill="1" applyBorder="1" applyAlignment="1">
      <alignment horizontal="center" vertical="center"/>
    </xf>
    <xf numFmtId="166" fontId="0" fillId="31" borderId="0" xfId="5" applyNumberFormat="1" applyFont="1" applyFill="1" applyBorder="1" applyAlignment="1">
      <alignment horizontal="center" vertical="center"/>
    </xf>
    <xf numFmtId="166" fontId="79" fillId="30" borderId="5" xfId="5" applyNumberFormat="1" applyFont="1" applyFill="1" applyBorder="1" applyAlignment="1">
      <alignment horizontal="left" vertical="center" wrapText="1"/>
    </xf>
    <xf numFmtId="166" fontId="79" fillId="30" borderId="9" xfId="5" applyNumberFormat="1" applyFont="1" applyFill="1" applyBorder="1" applyAlignment="1">
      <alignment horizontal="left" vertical="center" wrapText="1"/>
    </xf>
    <xf numFmtId="166" fontId="79" fillId="30" borderId="6" xfId="5" applyNumberFormat="1" applyFont="1" applyFill="1" applyBorder="1" applyAlignment="1">
      <alignment horizontal="left" vertical="center" wrapText="1"/>
    </xf>
    <xf numFmtId="166" fontId="92" fillId="30" borderId="9" xfId="5" applyNumberFormat="1" applyFont="1" applyFill="1" applyBorder="1" applyAlignment="1">
      <alignment horizontal="left" vertical="center" wrapText="1"/>
    </xf>
    <xf numFmtId="166" fontId="79" fillId="31" borderId="27" xfId="5" applyNumberFormat="1" applyFont="1" applyFill="1" applyBorder="1" applyAlignment="1">
      <alignment horizontal="right" vertical="center"/>
    </xf>
    <xf numFmtId="166" fontId="79" fillId="23" borderId="27" xfId="5" applyNumberFormat="1" applyFont="1" applyFill="1" applyBorder="1" applyAlignment="1">
      <alignment horizontal="right" vertical="center"/>
    </xf>
    <xf numFmtId="9" fontId="101" fillId="28" borderId="9" xfId="6" quotePrefix="1" applyFont="1" applyFill="1" applyBorder="1" applyAlignment="1">
      <alignment horizontal="center" vertical="center"/>
    </xf>
    <xf numFmtId="9" fontId="101" fillId="28" borderId="6" xfId="6" quotePrefix="1" applyFont="1" applyFill="1" applyBorder="1" applyAlignment="1">
      <alignment horizontal="center" vertical="center"/>
    </xf>
    <xf numFmtId="0" fontId="58" fillId="32" borderId="27" xfId="0" applyFont="1" applyFill="1" applyBorder="1" applyAlignment="1">
      <alignment horizontal="left" vertical="center" wrapText="1"/>
    </xf>
    <xf numFmtId="0" fontId="104" fillId="32" borderId="6" xfId="0" applyFont="1" applyFill="1" applyBorder="1" applyAlignment="1">
      <alignment vertical="center" wrapText="1"/>
    </xf>
    <xf numFmtId="166" fontId="79" fillId="32" borderId="5" xfId="5" applyNumberFormat="1" applyFont="1" applyFill="1" applyBorder="1" applyAlignment="1">
      <alignment horizontal="center" vertical="center" wrapText="1"/>
    </xf>
    <xf numFmtId="166" fontId="79" fillId="32" borderId="9" xfId="5" applyNumberFormat="1" applyFont="1" applyFill="1" applyBorder="1" applyAlignment="1">
      <alignment horizontal="center" vertical="center" wrapText="1"/>
    </xf>
    <xf numFmtId="166" fontId="79" fillId="32" borderId="6" xfId="5" applyNumberFormat="1" applyFont="1" applyFill="1" applyBorder="1" applyAlignment="1">
      <alignment horizontal="center" vertical="center" wrapText="1"/>
    </xf>
    <xf numFmtId="166" fontId="92" fillId="32" borderId="9" xfId="5" applyNumberFormat="1" applyFont="1" applyFill="1" applyBorder="1" applyAlignment="1">
      <alignment horizontal="center" vertical="center" wrapText="1"/>
    </xf>
    <xf numFmtId="166" fontId="79" fillId="33" borderId="27" xfId="5" applyNumberFormat="1" applyFont="1" applyFill="1" applyBorder="1" applyAlignment="1">
      <alignment horizontal="right" vertical="center"/>
    </xf>
    <xf numFmtId="166" fontId="0" fillId="0" borderId="9" xfId="5" applyNumberFormat="1" applyFont="1" applyBorder="1" applyAlignment="1">
      <alignment horizontal="center" vertical="center"/>
    </xf>
    <xf numFmtId="166" fontId="0" fillId="0" borderId="0" xfId="5" applyNumberFormat="1" applyFont="1" applyBorder="1" applyAlignment="1">
      <alignment horizontal="center" vertical="center"/>
    </xf>
    <xf numFmtId="166" fontId="92" fillId="32" borderId="5" xfId="5" applyNumberFormat="1" applyFont="1" applyFill="1" applyBorder="1" applyAlignment="1">
      <alignment horizontal="center" vertical="center" wrapText="1"/>
    </xf>
    <xf numFmtId="166" fontId="99" fillId="32" borderId="5" xfId="5" applyNumberFormat="1" applyFont="1" applyFill="1" applyBorder="1" applyAlignment="1">
      <alignment horizontal="center" vertical="center" wrapText="1"/>
    </xf>
    <xf numFmtId="166" fontId="79" fillId="33" borderId="27" xfId="5" applyNumberFormat="1" applyFont="1" applyFill="1" applyBorder="1" applyAlignment="1">
      <alignment horizontal="center" vertical="center"/>
    </xf>
    <xf numFmtId="166" fontId="101" fillId="0" borderId="0" xfId="5" applyNumberFormat="1" applyFont="1"/>
    <xf numFmtId="0" fontId="58" fillId="34" borderId="60" xfId="0" applyFont="1" applyFill="1" applyBorder="1" applyAlignment="1">
      <alignment horizontal="left" vertical="center" wrapText="1"/>
    </xf>
    <xf numFmtId="0" fontId="94" fillId="34" borderId="6" xfId="0" applyFont="1" applyFill="1" applyBorder="1" applyAlignment="1">
      <alignment wrapText="1"/>
    </xf>
    <xf numFmtId="166" fontId="79" fillId="11" borderId="5" xfId="5" applyNumberFormat="1" applyFont="1" applyFill="1" applyBorder="1" applyAlignment="1">
      <alignment horizontal="center" vertical="center" wrapText="1"/>
    </xf>
    <xf numFmtId="166" fontId="79" fillId="11" borderId="9" xfId="5" applyNumberFormat="1" applyFont="1" applyFill="1" applyBorder="1" applyAlignment="1">
      <alignment horizontal="center" vertical="center" wrapText="1"/>
    </xf>
    <xf numFmtId="9" fontId="44" fillId="15" borderId="9" xfId="6" applyFont="1" applyFill="1" applyBorder="1" applyAlignment="1">
      <alignment horizontal="center" vertical="center"/>
    </xf>
    <xf numFmtId="166" fontId="75" fillId="11" borderId="9" xfId="5" applyNumberFormat="1" applyFont="1" applyFill="1" applyBorder="1" applyAlignment="1">
      <alignment horizontal="center" vertical="center" wrapText="1"/>
    </xf>
    <xf numFmtId="166" fontId="79" fillId="11" borderId="6" xfId="5" applyNumberFormat="1" applyFont="1" applyFill="1" applyBorder="1" applyAlignment="1">
      <alignment horizontal="center" vertical="center" wrapText="1"/>
    </xf>
    <xf numFmtId="166" fontId="92" fillId="11" borderId="9" xfId="5" applyNumberFormat="1" applyFont="1" applyFill="1" applyBorder="1" applyAlignment="1">
      <alignment horizontal="center" vertical="center" wrapText="1"/>
    </xf>
    <xf numFmtId="166" fontId="79" fillId="11" borderId="27" xfId="5" applyNumberFormat="1" applyFont="1" applyFill="1" applyBorder="1" applyAlignment="1">
      <alignment horizontal="right" vertical="center"/>
    </xf>
    <xf numFmtId="166" fontId="79" fillId="11" borderId="9" xfId="5" applyNumberFormat="1" applyFont="1" applyFill="1" applyBorder="1" applyAlignment="1">
      <alignment horizontal="right" vertical="center"/>
    </xf>
    <xf numFmtId="166" fontId="79" fillId="11" borderId="0" xfId="5" applyNumberFormat="1" applyFont="1" applyFill="1" applyBorder="1" applyAlignment="1">
      <alignment horizontal="right" vertical="center"/>
    </xf>
    <xf numFmtId="0" fontId="58" fillId="34" borderId="26" xfId="0" applyFont="1" applyFill="1" applyBorder="1" applyAlignment="1">
      <alignment horizontal="left" vertical="center" wrapText="1"/>
    </xf>
    <xf numFmtId="0" fontId="58" fillId="34" borderId="27" xfId="0" applyFont="1" applyFill="1" applyBorder="1" applyAlignment="1">
      <alignment horizontal="left" vertical="center" wrapText="1"/>
    </xf>
    <xf numFmtId="0" fontId="104" fillId="34" borderId="6" xfId="0" applyFont="1" applyFill="1" applyBorder="1" applyAlignment="1">
      <alignment wrapText="1"/>
    </xf>
    <xf numFmtId="166" fontId="106" fillId="28" borderId="0" xfId="5" applyNumberFormat="1" applyFont="1" applyFill="1"/>
    <xf numFmtId="0" fontId="106" fillId="28" borderId="0" xfId="0" applyFont="1" applyFill="1"/>
    <xf numFmtId="9" fontId="106" fillId="28" borderId="9" xfId="6" applyFont="1" applyFill="1" applyBorder="1" applyAlignment="1">
      <alignment horizontal="center" vertical="center"/>
    </xf>
    <xf numFmtId="9" fontId="106" fillId="28" borderId="6" xfId="6" applyFont="1" applyFill="1" applyBorder="1" applyAlignment="1">
      <alignment horizontal="center" vertical="center"/>
    </xf>
    <xf numFmtId="166" fontId="107" fillId="28" borderId="9" xfId="5" applyNumberFormat="1" applyFont="1" applyFill="1" applyBorder="1" applyAlignment="1">
      <alignment horizontal="right" vertical="center"/>
    </xf>
    <xf numFmtId="166" fontId="106" fillId="0" borderId="0" xfId="5" applyNumberFormat="1" applyFont="1"/>
    <xf numFmtId="166" fontId="107" fillId="28" borderId="0" xfId="5" applyNumberFormat="1" applyFont="1" applyFill="1" applyBorder="1" applyAlignment="1">
      <alignment horizontal="right" vertical="center"/>
    </xf>
    <xf numFmtId="166" fontId="66" fillId="0" borderId="0" xfId="5" applyNumberFormat="1" applyFont="1"/>
    <xf numFmtId="166" fontId="79" fillId="35" borderId="9" xfId="5" applyNumberFormat="1" applyFont="1" applyFill="1" applyBorder="1" applyAlignment="1">
      <alignment horizontal="center" vertical="center" wrapText="1"/>
    </xf>
    <xf numFmtId="166" fontId="92" fillId="35" borderId="9" xfId="5" applyNumberFormat="1" applyFont="1" applyFill="1" applyBorder="1" applyAlignment="1">
      <alignment horizontal="center" vertical="center" wrapText="1"/>
    </xf>
    <xf numFmtId="166" fontId="0" fillId="35" borderId="0" xfId="5" applyNumberFormat="1" applyFont="1" applyFill="1" applyBorder="1" applyAlignment="1">
      <alignment horizontal="center" vertical="center"/>
    </xf>
    <xf numFmtId="166" fontId="79" fillId="35" borderId="5" xfId="5" applyNumberFormat="1" applyFont="1" applyFill="1" applyBorder="1" applyAlignment="1">
      <alignment horizontal="center" vertical="center" wrapText="1"/>
    </xf>
    <xf numFmtId="166" fontId="79" fillId="35" borderId="10" xfId="5" applyNumberFormat="1" applyFont="1" applyFill="1" applyBorder="1" applyAlignment="1">
      <alignment horizontal="center" vertical="center" wrapText="1"/>
    </xf>
    <xf numFmtId="9" fontId="0" fillId="15" borderId="63" xfId="6" applyFont="1" applyFill="1" applyBorder="1" applyAlignment="1">
      <alignment horizontal="center" vertical="center"/>
    </xf>
    <xf numFmtId="166" fontId="79" fillId="35" borderId="63" xfId="5" applyNumberFormat="1" applyFont="1" applyFill="1" applyBorder="1" applyAlignment="1">
      <alignment horizontal="center" vertical="center" wrapText="1"/>
    </xf>
    <xf numFmtId="9" fontId="0" fillId="35" borderId="11" xfId="6" applyFont="1" applyFill="1" applyBorder="1" applyAlignment="1">
      <alignment horizontal="center" vertical="center"/>
    </xf>
    <xf numFmtId="9" fontId="90" fillId="15" borderId="63" xfId="6" applyFont="1" applyFill="1" applyBorder="1" applyAlignment="1">
      <alignment horizontal="center" vertical="center"/>
    </xf>
    <xf numFmtId="9" fontId="0" fillId="25" borderId="11" xfId="6" applyFont="1" applyFill="1" applyBorder="1" applyAlignment="1">
      <alignment horizontal="center" vertical="center"/>
    </xf>
    <xf numFmtId="166" fontId="79" fillId="35" borderId="27" xfId="5" applyNumberFormat="1" applyFont="1" applyFill="1" applyBorder="1" applyAlignment="1">
      <alignment horizontal="right" vertical="center"/>
    </xf>
    <xf numFmtId="166" fontId="0" fillId="35" borderId="9" xfId="5" applyNumberFormat="1" applyFont="1" applyFill="1" applyBorder="1" applyAlignment="1">
      <alignment horizontal="center" vertical="center"/>
    </xf>
    <xf numFmtId="166" fontId="0" fillId="0" borderId="0" xfId="0" applyNumberFormat="1" applyFill="1"/>
    <xf numFmtId="0" fontId="90" fillId="0" borderId="0" xfId="0" applyFont="1" applyFill="1"/>
    <xf numFmtId="166" fontId="0" fillId="0" borderId="0" xfId="5" applyNumberFormat="1" applyFont="1" applyFill="1" applyAlignment="1">
      <alignment horizontal="center" vertical="center"/>
    </xf>
    <xf numFmtId="166" fontId="89" fillId="36" borderId="0" xfId="5" applyNumberFormat="1" applyFont="1" applyFill="1" applyAlignment="1">
      <alignment vertical="center"/>
    </xf>
    <xf numFmtId="0" fontId="89" fillId="36" borderId="0" xfId="0" applyFont="1" applyFill="1" applyAlignment="1">
      <alignment vertical="center"/>
    </xf>
    <xf numFmtId="166" fontId="108" fillId="36" borderId="9" xfId="0" applyNumberFormat="1" applyFont="1" applyFill="1" applyBorder="1" applyAlignment="1">
      <alignment vertical="center"/>
    </xf>
    <xf numFmtId="9" fontId="89" fillId="36" borderId="9" xfId="6" applyFont="1" applyFill="1" applyBorder="1" applyAlignment="1">
      <alignment horizontal="center" vertical="center"/>
    </xf>
    <xf numFmtId="166" fontId="101" fillId="36" borderId="9" xfId="0" applyNumberFormat="1" applyFont="1" applyFill="1" applyBorder="1" applyAlignment="1">
      <alignment vertical="center"/>
    </xf>
    <xf numFmtId="166" fontId="101" fillId="36" borderId="27" xfId="0" applyNumberFormat="1" applyFont="1" applyFill="1" applyBorder="1" applyAlignment="1">
      <alignment vertical="center"/>
    </xf>
    <xf numFmtId="9" fontId="88" fillId="36" borderId="9" xfId="6" applyFont="1" applyFill="1" applyBorder="1" applyAlignment="1">
      <alignment horizontal="center" vertical="center"/>
    </xf>
    <xf numFmtId="166" fontId="109" fillId="36" borderId="9" xfId="0" applyNumberFormat="1" applyFont="1" applyFill="1" applyBorder="1" applyAlignment="1">
      <alignment vertical="center"/>
    </xf>
    <xf numFmtId="166" fontId="51" fillId="36" borderId="9" xfId="5" applyNumberFormat="1" applyFont="1" applyFill="1" applyBorder="1" applyAlignment="1">
      <alignment horizontal="right" vertical="center"/>
    </xf>
    <xf numFmtId="166" fontId="51" fillId="36" borderId="0" xfId="5" applyNumberFormat="1" applyFont="1" applyFill="1" applyBorder="1" applyAlignment="1">
      <alignment horizontal="right" vertical="center"/>
    </xf>
    <xf numFmtId="166" fontId="79" fillId="22" borderId="9" xfId="5" applyNumberFormat="1" applyFont="1" applyFill="1" applyBorder="1" applyAlignment="1">
      <alignment horizontal="center" vertical="center" wrapText="1"/>
    </xf>
    <xf numFmtId="9" fontId="0" fillId="25" borderId="9" xfId="6" applyFont="1" applyFill="1" applyBorder="1" applyAlignment="1">
      <alignment horizontal="center" vertical="center"/>
    </xf>
    <xf numFmtId="0" fontId="0" fillId="15" borderId="9" xfId="6" applyNumberFormat="1" applyFont="1" applyFill="1" applyBorder="1" applyAlignment="1">
      <alignment horizontal="center" vertical="center"/>
    </xf>
    <xf numFmtId="166" fontId="92" fillId="22" borderId="9" xfId="5" applyNumberFormat="1" applyFont="1" applyFill="1" applyBorder="1" applyAlignment="1">
      <alignment horizontal="center" vertical="center" wrapText="1"/>
    </xf>
    <xf numFmtId="166" fontId="79" fillId="22" borderId="31" xfId="5" applyNumberFormat="1" applyFont="1" applyFill="1" applyBorder="1" applyAlignment="1">
      <alignment horizontal="right" vertical="center"/>
    </xf>
    <xf numFmtId="166" fontId="0" fillId="22" borderId="9" xfId="0" applyNumberFormat="1" applyFill="1" applyBorder="1"/>
    <xf numFmtId="166" fontId="0" fillId="22" borderId="0" xfId="0" applyNumberFormat="1" applyFill="1" applyBorder="1"/>
    <xf numFmtId="0" fontId="55" fillId="22" borderId="31" xfId="0" applyFont="1" applyFill="1" applyBorder="1" applyAlignment="1">
      <alignment horizontal="center" vertical="center" wrapText="1"/>
    </xf>
    <xf numFmtId="166" fontId="0" fillId="22" borderId="0" xfId="0" applyNumberFormat="1" applyFill="1" applyBorder="1" applyAlignment="1">
      <alignment horizontal="center" vertical="center"/>
    </xf>
    <xf numFmtId="0" fontId="55" fillId="22" borderId="60" xfId="0" applyFont="1" applyFill="1" applyBorder="1" applyAlignment="1">
      <alignment horizontal="center" vertical="center" wrapText="1"/>
    </xf>
    <xf numFmtId="166" fontId="110" fillId="22" borderId="9" xfId="5" applyNumberFormat="1" applyFont="1" applyFill="1" applyBorder="1" applyAlignment="1">
      <alignment horizontal="center" vertical="center" wrapText="1"/>
    </xf>
    <xf numFmtId="166" fontId="79" fillId="22" borderId="27" xfId="5" applyNumberFormat="1" applyFont="1" applyFill="1" applyBorder="1" applyAlignment="1">
      <alignment horizontal="center" vertical="center"/>
    </xf>
    <xf numFmtId="166" fontId="0" fillId="22" borderId="50" xfId="0" applyNumberFormat="1" applyFill="1" applyBorder="1" applyAlignment="1">
      <alignment horizontal="center" vertical="center"/>
    </xf>
    <xf numFmtId="0" fontId="0" fillId="31" borderId="31" xfId="0" applyFill="1" applyBorder="1" applyAlignment="1">
      <alignment horizontal="center" vertical="center"/>
    </xf>
    <xf numFmtId="166" fontId="79" fillId="31" borderId="9" xfId="5" applyNumberFormat="1" applyFont="1" applyFill="1" applyBorder="1" applyAlignment="1">
      <alignment horizontal="center" vertical="center" wrapText="1"/>
    </xf>
    <xf numFmtId="166" fontId="92" fillId="31" borderId="9" xfId="5" applyNumberFormat="1" applyFont="1" applyFill="1" applyBorder="1" applyAlignment="1">
      <alignment horizontal="center" vertical="center" wrapText="1"/>
    </xf>
    <xf numFmtId="0" fontId="0" fillId="31" borderId="60" xfId="0" applyFill="1" applyBorder="1" applyAlignment="1">
      <alignment horizontal="center" vertical="center"/>
    </xf>
    <xf numFmtId="166" fontId="79" fillId="31" borderId="34" xfId="5" applyNumberFormat="1" applyFont="1" applyFill="1" applyBorder="1" applyAlignment="1">
      <alignment vertical="center" wrapText="1"/>
    </xf>
    <xf numFmtId="0" fontId="0" fillId="31" borderId="26" xfId="0" applyFill="1" applyBorder="1" applyAlignment="1">
      <alignment horizontal="center" vertical="center"/>
    </xf>
    <xf numFmtId="166" fontId="111" fillId="22" borderId="9" xfId="5" applyNumberFormat="1" applyFont="1" applyFill="1" applyBorder="1" applyAlignment="1">
      <alignment horizontal="center" vertical="center" wrapText="1"/>
    </xf>
    <xf numFmtId="166" fontId="79" fillId="22" borderId="27" xfId="5" applyNumberFormat="1" applyFont="1" applyFill="1" applyBorder="1" applyAlignment="1">
      <alignment horizontal="right" vertical="center"/>
    </xf>
    <xf numFmtId="0" fontId="88" fillId="0" borderId="0" xfId="0" applyFont="1" applyAlignment="1">
      <alignment vertical="center"/>
    </xf>
    <xf numFmtId="166" fontId="59" fillId="36" borderId="9" xfId="5" applyNumberFormat="1" applyFont="1" applyFill="1" applyBorder="1" applyAlignment="1">
      <alignment horizontal="right" vertical="center"/>
    </xf>
    <xf numFmtId="166" fontId="51" fillId="36" borderId="27" xfId="5" applyNumberFormat="1" applyFont="1" applyFill="1" applyBorder="1" applyAlignment="1">
      <alignment horizontal="right" vertical="center"/>
    </xf>
    <xf numFmtId="166" fontId="99" fillId="36" borderId="9" xfId="5" applyNumberFormat="1" applyFont="1" applyFill="1" applyBorder="1" applyAlignment="1">
      <alignment horizontal="right" vertical="center"/>
    </xf>
    <xf numFmtId="164" fontId="51" fillId="36" borderId="9" xfId="5" applyFont="1" applyFill="1" applyBorder="1" applyAlignment="1">
      <alignment horizontal="right" vertical="center"/>
    </xf>
    <xf numFmtId="164" fontId="51" fillId="36" borderId="0" xfId="5" applyFont="1" applyFill="1" applyBorder="1" applyAlignment="1">
      <alignment horizontal="right" vertical="center"/>
    </xf>
    <xf numFmtId="9" fontId="0" fillId="0" borderId="0" xfId="6" applyFont="1" applyFill="1" applyAlignment="1">
      <alignment horizontal="center"/>
    </xf>
    <xf numFmtId="9" fontId="0" fillId="0" borderId="0" xfId="6" applyFont="1" applyFill="1" applyAlignment="1">
      <alignment horizontal="center" vertical="center"/>
    </xf>
    <xf numFmtId="9" fontId="90" fillId="0" borderId="0" xfId="6" applyFont="1" applyFill="1" applyAlignment="1">
      <alignment horizontal="center"/>
    </xf>
    <xf numFmtId="166" fontId="80" fillId="22" borderId="9" xfId="5" applyNumberFormat="1" applyFont="1" applyFill="1" applyBorder="1" applyAlignment="1">
      <alignment horizontal="right" vertical="center"/>
    </xf>
    <xf numFmtId="166" fontId="92" fillId="22" borderId="9" xfId="5" applyNumberFormat="1" applyFont="1" applyFill="1" applyBorder="1" applyAlignment="1">
      <alignment horizontal="right" vertical="center"/>
    </xf>
    <xf numFmtId="166" fontId="80" fillId="22" borderId="0" xfId="5" applyNumberFormat="1" applyFont="1" applyFill="1" applyBorder="1" applyAlignment="1">
      <alignment horizontal="right" vertical="center"/>
    </xf>
    <xf numFmtId="0" fontId="89" fillId="36" borderId="0" xfId="0" applyFont="1" applyFill="1"/>
    <xf numFmtId="0" fontId="66" fillId="0" borderId="0" xfId="0" applyFont="1" applyFill="1" applyAlignment="1">
      <alignment horizontal="right"/>
    </xf>
    <xf numFmtId="166" fontId="44" fillId="0" borderId="0" xfId="5" applyNumberFormat="1" applyFont="1" applyFill="1" applyAlignment="1">
      <alignment horizontal="center" vertical="center"/>
    </xf>
    <xf numFmtId="166" fontId="90" fillId="0" borderId="0" xfId="5" applyNumberFormat="1" applyFont="1" applyFill="1" applyAlignment="1">
      <alignment horizontal="center" vertical="center"/>
    </xf>
    <xf numFmtId="166" fontId="108" fillId="37" borderId="9" xfId="5" applyNumberFormat="1" applyFont="1" applyFill="1" applyBorder="1" applyAlignment="1">
      <alignment horizontal="center" vertical="center"/>
    </xf>
    <xf numFmtId="9" fontId="101" fillId="37" borderId="9" xfId="6" applyFont="1" applyFill="1" applyBorder="1" applyAlignment="1">
      <alignment horizontal="center" vertical="center"/>
    </xf>
    <xf numFmtId="166" fontId="101" fillId="37" borderId="9" xfId="5" applyNumberFormat="1" applyFont="1" applyFill="1" applyBorder="1" applyAlignment="1">
      <alignment horizontal="center" vertical="center"/>
    </xf>
    <xf numFmtId="0" fontId="112" fillId="0" borderId="0" xfId="0" applyFont="1" applyAlignment="1">
      <alignment vertical="center"/>
    </xf>
    <xf numFmtId="166" fontId="101" fillId="37" borderId="0" xfId="5" applyNumberFormat="1" applyFont="1" applyFill="1" applyBorder="1" applyAlignment="1">
      <alignment horizontal="center" vertical="center"/>
    </xf>
    <xf numFmtId="0" fontId="90" fillId="0" borderId="0" xfId="0" applyFont="1"/>
    <xf numFmtId="166" fontId="0" fillId="0" borderId="0" xfId="0" applyNumberFormat="1" applyFont="1"/>
    <xf numFmtId="164" fontId="90" fillId="0" borderId="0" xfId="0" applyNumberFormat="1" applyFont="1"/>
    <xf numFmtId="166" fontId="66" fillId="0" borderId="0" xfId="0" applyNumberFormat="1" applyFont="1"/>
    <xf numFmtId="166" fontId="90" fillId="0" borderId="0" xfId="0" applyNumberFormat="1" applyFont="1"/>
    <xf numFmtId="166" fontId="79" fillId="34" borderId="0" xfId="5" applyNumberFormat="1" applyFont="1" applyFill="1" applyBorder="1" applyAlignment="1">
      <alignment horizontal="center" vertical="center" wrapText="1"/>
    </xf>
    <xf numFmtId="166" fontId="92" fillId="34" borderId="0" xfId="5" applyNumberFormat="1" applyFont="1" applyFill="1" applyBorder="1" applyAlignment="1">
      <alignment horizontal="center" vertical="center" wrapText="1"/>
    </xf>
    <xf numFmtId="166" fontId="0" fillId="0" borderId="9" xfId="5" applyNumberFormat="1" applyFont="1" applyBorder="1"/>
    <xf numFmtId="9" fontId="0" fillId="0" borderId="0" xfId="6" applyFont="1" applyAlignment="1">
      <alignment vertical="center"/>
    </xf>
    <xf numFmtId="166" fontId="66" fillId="18" borderId="0" xfId="0" applyNumberFormat="1" applyFont="1" applyFill="1"/>
    <xf numFmtId="166" fontId="78" fillId="0" borderId="9" xfId="5" applyNumberFormat="1" applyFont="1" applyFill="1" applyBorder="1" applyAlignment="1">
      <alignment horizontal="center" vertical="center"/>
    </xf>
    <xf numFmtId="166" fontId="79" fillId="35" borderId="64" xfId="5" applyNumberFormat="1" applyFont="1" applyFill="1" applyBorder="1" applyAlignment="1">
      <alignment horizontal="center" vertical="center" wrapText="1"/>
    </xf>
    <xf numFmtId="166" fontId="79" fillId="30" borderId="9" xfId="5" applyNumberFormat="1" applyFont="1" applyFill="1" applyBorder="1" applyAlignment="1">
      <alignment vertical="center" wrapText="1"/>
    </xf>
    <xf numFmtId="9" fontId="90" fillId="25" borderId="9" xfId="6" applyFont="1" applyFill="1" applyBorder="1" applyAlignment="1">
      <alignment horizontal="center" vertical="center"/>
    </xf>
    <xf numFmtId="164" fontId="20" fillId="0" borderId="0" xfId="5" applyFont="1" applyFill="1"/>
    <xf numFmtId="164" fontId="20" fillId="0" borderId="0" xfId="5" applyFont="1" applyAlignment="1">
      <alignment wrapText="1"/>
    </xf>
    <xf numFmtId="166" fontId="20" fillId="0" borderId="0" xfId="0" applyNumberFormat="1" applyFont="1" applyFill="1"/>
    <xf numFmtId="166" fontId="79" fillId="0" borderId="9" xfId="5" applyNumberFormat="1" applyFont="1" applyFill="1" applyBorder="1" applyAlignment="1">
      <alignment horizontal="center" vertical="center"/>
    </xf>
    <xf numFmtId="0" fontId="2" fillId="3" borderId="0" xfId="0" applyFont="1" applyFill="1" applyBorder="1" applyAlignment="1" applyProtection="1">
      <alignment horizontal="left" vertical="center" wrapText="1"/>
    </xf>
    <xf numFmtId="166" fontId="75" fillId="30" borderId="5" xfId="5" applyNumberFormat="1" applyFont="1" applyFill="1" applyBorder="1" applyAlignment="1">
      <alignment horizontal="center" vertical="center" wrapText="1"/>
    </xf>
    <xf numFmtId="166" fontId="0" fillId="0" borderId="0" xfId="6" applyNumberFormat="1" applyFont="1" applyFill="1" applyAlignment="1">
      <alignment horizontal="center"/>
    </xf>
    <xf numFmtId="0" fontId="14" fillId="3" borderId="17" xfId="0" applyFont="1" applyFill="1" applyBorder="1" applyProtection="1"/>
    <xf numFmtId="0" fontId="15" fillId="2" borderId="1" xfId="0" applyFont="1" applyFill="1" applyBorder="1" applyAlignment="1" applyProtection="1">
      <alignment horizontal="center" vertical="center" wrapText="1"/>
    </xf>
    <xf numFmtId="0" fontId="114" fillId="17" borderId="41" xfId="0" applyFont="1" applyFill="1" applyBorder="1" applyAlignment="1" applyProtection="1">
      <alignment vertical="center" wrapText="1"/>
    </xf>
    <xf numFmtId="0" fontId="114" fillId="15" borderId="44" xfId="0" applyFont="1" applyFill="1" applyBorder="1" applyAlignment="1" applyProtection="1">
      <alignment vertical="center" wrapText="1"/>
    </xf>
    <xf numFmtId="0" fontId="114" fillId="22" borderId="44" xfId="0" applyFont="1" applyFill="1" applyBorder="1" applyAlignment="1" applyProtection="1">
      <alignment vertical="center" wrapText="1"/>
    </xf>
    <xf numFmtId="0" fontId="114" fillId="2" borderId="44" xfId="0" applyFont="1" applyFill="1" applyBorder="1" applyAlignment="1" applyProtection="1">
      <alignment vertical="center" wrapText="1"/>
    </xf>
    <xf numFmtId="0" fontId="114" fillId="2" borderId="44" xfId="0" applyFont="1" applyFill="1" applyBorder="1" applyAlignment="1" applyProtection="1">
      <alignment horizontal="center" vertical="center" wrapText="1"/>
    </xf>
    <xf numFmtId="9" fontId="114" fillId="2" borderId="44" xfId="0" applyNumberFormat="1" applyFont="1" applyFill="1" applyBorder="1" applyAlignment="1" applyProtection="1">
      <alignment vertical="center" wrapText="1"/>
    </xf>
    <xf numFmtId="9" fontId="114" fillId="15" borderId="44" xfId="0" applyNumberFormat="1" applyFont="1" applyFill="1" applyBorder="1" applyAlignment="1" applyProtection="1">
      <alignment vertical="center" wrapText="1"/>
    </xf>
    <xf numFmtId="9" fontId="114" fillId="2" borderId="38" xfId="0" applyNumberFormat="1" applyFont="1" applyFill="1" applyBorder="1" applyAlignment="1" applyProtection="1">
      <alignment vertical="center" wrapText="1"/>
    </xf>
    <xf numFmtId="0" fontId="14" fillId="3" borderId="22" xfId="0" applyFont="1" applyFill="1" applyBorder="1" applyAlignment="1" applyProtection="1">
      <alignment vertical="center"/>
    </xf>
    <xf numFmtId="0" fontId="20" fillId="0" borderId="9" xfId="0" applyFont="1" applyFill="1" applyBorder="1" applyAlignment="1">
      <alignment vertical="center" wrapText="1"/>
    </xf>
    <xf numFmtId="0" fontId="14" fillId="0" borderId="9" xfId="0" applyFont="1" applyFill="1" applyBorder="1" applyAlignment="1">
      <alignment vertical="center" wrapText="1"/>
    </xf>
    <xf numFmtId="166" fontId="79" fillId="18" borderId="9" xfId="5" applyNumberFormat="1" applyFont="1" applyFill="1" applyBorder="1" applyAlignment="1">
      <alignment horizontal="right" vertical="center"/>
    </xf>
    <xf numFmtId="166" fontId="79" fillId="18" borderId="9" xfId="5" applyNumberFormat="1" applyFont="1" applyFill="1" applyBorder="1" applyAlignment="1">
      <alignment horizontal="left" vertical="center" wrapText="1"/>
    </xf>
    <xf numFmtId="0" fontId="115" fillId="0" borderId="0" xfId="0" applyFont="1" applyAlignment="1">
      <alignment vertical="center"/>
    </xf>
    <xf numFmtId="0" fontId="53" fillId="13" borderId="73" xfId="0" applyFont="1" applyFill="1" applyBorder="1" applyAlignment="1">
      <alignment horizontal="center" vertical="center" wrapText="1"/>
    </xf>
    <xf numFmtId="0" fontId="116" fillId="0" borderId="9" xfId="0" applyFont="1" applyFill="1" applyBorder="1" applyAlignment="1"/>
    <xf numFmtId="166" fontId="116" fillId="0" borderId="9" xfId="5" applyNumberFormat="1" applyFont="1" applyFill="1" applyBorder="1" applyAlignment="1">
      <alignment horizontal="right"/>
    </xf>
    <xf numFmtId="166" fontId="116" fillId="0" borderId="63" xfId="5" applyNumberFormat="1" applyFont="1" applyFill="1" applyBorder="1" applyAlignment="1">
      <alignment horizontal="right"/>
    </xf>
    <xf numFmtId="166" fontId="116" fillId="0" borderId="56" xfId="5" applyNumberFormat="1" applyFont="1" applyFill="1" applyBorder="1" applyAlignment="1">
      <alignment horizontal="right" vertical="center"/>
    </xf>
    <xf numFmtId="166" fontId="116" fillId="0" borderId="63" xfId="5" applyNumberFormat="1" applyFont="1" applyFill="1" applyBorder="1" applyAlignment="1">
      <alignment horizontal="right" vertical="center"/>
    </xf>
    <xf numFmtId="166" fontId="116" fillId="0" borderId="9" xfId="5" applyNumberFormat="1" applyFont="1" applyFill="1" applyBorder="1" applyAlignment="1">
      <alignment horizontal="right" vertical="center"/>
    </xf>
    <xf numFmtId="14" fontId="0" fillId="0" borderId="0" xfId="0" applyNumberFormat="1"/>
    <xf numFmtId="166" fontId="90" fillId="0" borderId="0" xfId="5" applyNumberFormat="1" applyFont="1" applyFill="1"/>
    <xf numFmtId="164" fontId="90" fillId="0" borderId="0" xfId="5" applyFont="1" applyFill="1"/>
    <xf numFmtId="0" fontId="117" fillId="0" borderId="0" xfId="0" applyFont="1" applyFill="1"/>
    <xf numFmtId="166" fontId="116" fillId="0" borderId="8" xfId="5" applyNumberFormat="1" applyFont="1" applyFill="1" applyBorder="1" applyAlignment="1">
      <alignment horizontal="right" vertical="center"/>
    </xf>
    <xf numFmtId="0" fontId="116" fillId="0" borderId="63" xfId="0" applyFont="1" applyFill="1" applyBorder="1" applyAlignment="1">
      <alignment horizontal="left" vertical="center"/>
    </xf>
    <xf numFmtId="166" fontId="116" fillId="0" borderId="63" xfId="5" applyNumberFormat="1" applyFont="1" applyFill="1" applyBorder="1" applyAlignment="1">
      <alignment horizontal="center" vertical="center"/>
    </xf>
    <xf numFmtId="9" fontId="60" fillId="13" borderId="56" xfId="6" applyFont="1" applyFill="1" applyBorder="1" applyAlignment="1">
      <alignment horizontal="center"/>
    </xf>
    <xf numFmtId="0" fontId="14" fillId="2" borderId="9" xfId="0" applyFont="1" applyFill="1" applyBorder="1" applyAlignment="1">
      <alignment vertical="center" wrapText="1"/>
    </xf>
    <xf numFmtId="0" fontId="0" fillId="0" borderId="0" xfId="0" quotePrefix="1" applyAlignment="1">
      <alignment wrapText="1"/>
    </xf>
    <xf numFmtId="0" fontId="14" fillId="2" borderId="9" xfId="0" quotePrefix="1" applyFont="1" applyFill="1" applyBorder="1" applyAlignment="1">
      <alignment vertical="center" wrapText="1"/>
    </xf>
    <xf numFmtId="0" fontId="14" fillId="0" borderId="23" xfId="0" applyFont="1" applyFill="1" applyBorder="1" applyAlignment="1">
      <alignment vertical="top" wrapText="1"/>
    </xf>
    <xf numFmtId="0" fontId="14" fillId="0" borderId="20" xfId="0" applyFont="1" applyFill="1" applyBorder="1" applyAlignment="1">
      <alignment vertical="top" wrapText="1"/>
    </xf>
    <xf numFmtId="0" fontId="14" fillId="0" borderId="28" xfId="0" applyFont="1" applyFill="1" applyBorder="1" applyAlignment="1">
      <alignment vertical="top" wrapText="1"/>
    </xf>
    <xf numFmtId="164" fontId="63" fillId="17" borderId="41" xfId="5" applyFont="1" applyFill="1" applyBorder="1" applyAlignment="1" applyProtection="1">
      <alignment vertical="center" wrapText="1"/>
    </xf>
    <xf numFmtId="164" fontId="63" fillId="15" borderId="44" xfId="5" applyFont="1" applyFill="1" applyBorder="1" applyAlignment="1" applyProtection="1">
      <alignment vertical="center" wrapText="1"/>
    </xf>
    <xf numFmtId="164" fontId="63" fillId="22" borderId="44" xfId="5" applyFont="1" applyFill="1" applyBorder="1" applyAlignment="1" applyProtection="1">
      <alignment vertical="center" wrapText="1"/>
    </xf>
    <xf numFmtId="164" fontId="114" fillId="0" borderId="44" xfId="5" applyFont="1" applyFill="1" applyBorder="1" applyAlignment="1" applyProtection="1">
      <alignment horizontal="center" vertical="center" wrapText="1"/>
    </xf>
    <xf numFmtId="0" fontId="63" fillId="22" borderId="44" xfId="0" applyFont="1" applyFill="1" applyBorder="1" applyAlignment="1" applyProtection="1">
      <alignment horizontal="center" vertical="center" wrapText="1"/>
    </xf>
    <xf numFmtId="9" fontId="114" fillId="0" borderId="44" xfId="6" applyFont="1" applyFill="1" applyBorder="1" applyAlignment="1" applyProtection="1">
      <alignment horizontal="center" vertical="center" wrapText="1"/>
    </xf>
    <xf numFmtId="0" fontId="63" fillId="2" borderId="44" xfId="0" applyFont="1" applyFill="1" applyBorder="1" applyAlignment="1" applyProtection="1">
      <alignment horizontal="center" vertical="center" wrapText="1"/>
    </xf>
    <xf numFmtId="0" fontId="63" fillId="2" borderId="44" xfId="0" applyFont="1" applyFill="1" applyBorder="1" applyAlignment="1" applyProtection="1">
      <alignment horizontal="left" vertical="center" wrapText="1"/>
    </xf>
    <xf numFmtId="164" fontId="114" fillId="0" borderId="44" xfId="5" applyFont="1" applyFill="1" applyBorder="1" applyAlignment="1" applyProtection="1">
      <alignment horizontal="left" vertical="center" wrapText="1"/>
    </xf>
    <xf numFmtId="164" fontId="113" fillId="0" borderId="0" xfId="5" applyFont="1" applyFill="1" applyAlignment="1">
      <alignment horizontal="center"/>
    </xf>
    <xf numFmtId="166" fontId="0" fillId="0" borderId="0" xfId="5" applyNumberFormat="1" applyFont="1" applyAlignment="1">
      <alignment horizontal="center"/>
    </xf>
    <xf numFmtId="166" fontId="79" fillId="11" borderId="0" xfId="5" applyNumberFormat="1" applyFont="1" applyFill="1" applyBorder="1" applyAlignment="1">
      <alignment horizontal="center"/>
    </xf>
    <xf numFmtId="166" fontId="121" fillId="0" borderId="0" xfId="5" applyNumberFormat="1" applyFont="1" applyFill="1"/>
    <xf numFmtId="0" fontId="14" fillId="2" borderId="1" xfId="0" applyFont="1" applyFill="1" applyBorder="1" applyAlignment="1" applyProtection="1">
      <alignment vertical="top" wrapText="1"/>
      <protection locked="0"/>
    </xf>
    <xf numFmtId="0" fontId="15" fillId="2" borderId="1" xfId="0" applyFont="1" applyFill="1" applyBorder="1" applyAlignment="1" applyProtection="1">
      <alignment horizontal="center"/>
    </xf>
    <xf numFmtId="0" fontId="0" fillId="0" borderId="0" xfId="0" applyAlignment="1" applyProtection="1">
      <alignment vertical="center"/>
    </xf>
    <xf numFmtId="0" fontId="85" fillId="23" borderId="9" xfId="0" applyFont="1" applyFill="1" applyBorder="1" applyAlignment="1" applyProtection="1">
      <alignment horizontal="center" vertical="center" wrapText="1"/>
    </xf>
    <xf numFmtId="0" fontId="2" fillId="23" borderId="9" xfId="0" applyFont="1" applyFill="1" applyBorder="1" applyAlignment="1" applyProtection="1">
      <alignment horizontal="center" vertical="center" wrapText="1"/>
    </xf>
    <xf numFmtId="0" fontId="63" fillId="23" borderId="9" xfId="0" quotePrefix="1" applyFont="1" applyFill="1" applyBorder="1" applyAlignment="1" applyProtection="1">
      <alignment horizontal="center" vertical="center" wrapText="1"/>
    </xf>
    <xf numFmtId="0" fontId="1" fillId="23" borderId="9" xfId="0" applyFont="1" applyFill="1" applyBorder="1" applyAlignment="1" applyProtection="1">
      <alignment vertical="top" wrapText="1"/>
    </xf>
    <xf numFmtId="0" fontId="37" fillId="11" borderId="35" xfId="0" applyFont="1" applyFill="1" applyBorder="1" applyAlignment="1" applyProtection="1">
      <alignment horizontal="center" vertical="center"/>
    </xf>
    <xf numFmtId="0" fontId="37" fillId="11" borderId="27" xfId="0" applyFont="1" applyFill="1" applyBorder="1" applyAlignment="1" applyProtection="1">
      <alignment horizontal="center" vertical="center" wrapText="1"/>
    </xf>
    <xf numFmtId="0" fontId="37" fillId="11" borderId="49" xfId="0" applyFont="1" applyFill="1" applyBorder="1" applyAlignment="1" applyProtection="1">
      <alignment horizontal="center" vertical="center" wrapText="1"/>
    </xf>
    <xf numFmtId="0" fontId="42" fillId="12" borderId="49" xfId="4" applyFont="1" applyFill="1" applyBorder="1" applyAlignment="1" applyProtection="1">
      <alignment horizontal="center" vertical="center"/>
      <protection locked="0"/>
    </xf>
    <xf numFmtId="0" fontId="42" fillId="8" borderId="27" xfId="4" applyFont="1" applyBorder="1" applyAlignment="1" applyProtection="1">
      <alignment horizontal="center" vertical="center"/>
      <protection locked="0"/>
    </xf>
    <xf numFmtId="0" fontId="37" fillId="11" borderId="42" xfId="0" applyFont="1" applyFill="1" applyBorder="1" applyAlignment="1" applyProtection="1">
      <alignment horizontal="center" vertical="center"/>
    </xf>
    <xf numFmtId="0" fontId="37" fillId="11" borderId="41" xfId="0" applyFont="1" applyFill="1" applyBorder="1" applyAlignment="1" applyProtection="1">
      <alignment horizontal="center" vertical="center"/>
    </xf>
    <xf numFmtId="0" fontId="34" fillId="8" borderId="27" xfId="4" applyBorder="1" applyAlignment="1" applyProtection="1">
      <alignment horizontal="center" vertical="center"/>
      <protection locked="0"/>
    </xf>
    <xf numFmtId="0" fontId="34" fillId="12" borderId="49" xfId="4" applyFill="1" applyBorder="1" applyAlignment="1" applyProtection="1">
      <alignment horizontal="center" vertical="center"/>
      <protection locked="0"/>
    </xf>
    <xf numFmtId="0" fontId="37" fillId="11" borderId="46" xfId="0" applyFont="1" applyFill="1" applyBorder="1" applyAlignment="1" applyProtection="1">
      <alignment horizontal="center" vertical="center" wrapText="1"/>
    </xf>
    <xf numFmtId="0" fontId="34" fillId="12" borderId="46" xfId="4" applyFill="1" applyBorder="1" applyAlignment="1" applyProtection="1">
      <alignment horizontal="center" vertical="center"/>
      <protection locked="0"/>
    </xf>
    <xf numFmtId="0" fontId="34" fillId="12" borderId="44" xfId="4" applyFill="1" applyBorder="1" applyAlignment="1" applyProtection="1">
      <alignment horizontal="center" vertical="center" wrapText="1"/>
      <protection locked="0"/>
    </xf>
    <xf numFmtId="0" fontId="34" fillId="12" borderId="49" xfId="4"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7" fillId="11" borderId="41" xfId="0" applyFont="1" applyFill="1" applyBorder="1" applyAlignment="1" applyProtection="1">
      <alignment horizontal="center" vertical="center" wrapText="1"/>
    </xf>
    <xf numFmtId="0" fontId="64" fillId="10" borderId="34" xfId="0" applyFont="1" applyFill="1" applyBorder="1" applyAlignment="1" applyProtection="1">
      <alignment horizontal="left" vertical="center" wrapText="1"/>
    </xf>
    <xf numFmtId="0" fontId="64" fillId="10" borderId="50" xfId="0" applyFont="1" applyFill="1" applyBorder="1" applyAlignment="1" applyProtection="1">
      <alignment horizontal="left" vertical="center" wrapText="1"/>
    </xf>
    <xf numFmtId="0" fontId="64" fillId="10" borderId="53" xfId="0" applyFont="1" applyFill="1" applyBorder="1" applyAlignment="1" applyProtection="1">
      <alignment horizontal="left" vertical="center" wrapText="1"/>
    </xf>
    <xf numFmtId="0" fontId="64" fillId="0" borderId="34" xfId="0" applyFont="1" applyBorder="1" applyAlignment="1" applyProtection="1">
      <alignment horizontal="center" vertical="center" wrapText="1"/>
    </xf>
    <xf numFmtId="0" fontId="64" fillId="0" borderId="50" xfId="0" applyFont="1" applyBorder="1" applyAlignment="1" applyProtection="1">
      <alignment horizontal="center" vertical="center" wrapText="1"/>
    </xf>
    <xf numFmtId="0" fontId="64" fillId="0" borderId="53" xfId="0" applyFont="1" applyBorder="1" applyAlignment="1" applyProtection="1">
      <alignment horizontal="center" vertical="center" wrapText="1"/>
    </xf>
    <xf numFmtId="0" fontId="64" fillId="0" borderId="34" xfId="0" applyFont="1" applyBorder="1" applyAlignment="1" applyProtection="1">
      <alignment horizontal="left" vertical="center" wrapText="1"/>
    </xf>
    <xf numFmtId="0" fontId="64" fillId="0" borderId="50" xfId="0" applyFont="1" applyBorder="1" applyAlignment="1" applyProtection="1">
      <alignment horizontal="left" vertical="center" wrapText="1"/>
    </xf>
    <xf numFmtId="0" fontId="64" fillId="0" borderId="53" xfId="0" applyFont="1" applyBorder="1" applyAlignment="1" applyProtection="1">
      <alignment horizontal="left" vertical="center" wrapText="1"/>
    </xf>
    <xf numFmtId="0" fontId="37" fillId="11" borderId="45" xfId="0" applyFont="1" applyFill="1" applyBorder="1" applyAlignment="1" applyProtection="1">
      <alignment horizontal="center" vertical="center"/>
    </xf>
    <xf numFmtId="0" fontId="34" fillId="12" borderId="66" xfId="4" applyFill="1" applyBorder="1" applyAlignment="1" applyProtection="1">
      <protection locked="0"/>
    </xf>
    <xf numFmtId="0" fontId="42" fillId="12" borderId="49" xfId="4" applyFont="1" applyFill="1" applyBorder="1" applyAlignment="1" applyProtection="1">
      <alignment horizontal="center" vertical="center" wrapText="1"/>
      <protection locked="0"/>
    </xf>
    <xf numFmtId="0" fontId="34" fillId="8" borderId="74" xfId="4" applyBorder="1" applyAlignment="1" applyProtection="1">
      <alignment wrapText="1"/>
      <protection locked="0"/>
    </xf>
    <xf numFmtId="0" fontId="37" fillId="11" borderId="44" xfId="0" applyFont="1" applyFill="1" applyBorder="1" applyAlignment="1" applyProtection="1">
      <alignment horizontal="center" vertical="center" wrapText="1"/>
    </xf>
    <xf numFmtId="0" fontId="34" fillId="12" borderId="74" xfId="4" applyFill="1" applyBorder="1" applyAlignment="1" applyProtection="1">
      <protection locked="0"/>
    </xf>
    <xf numFmtId="0" fontId="37" fillId="11" borderId="5" xfId="0" applyFont="1" applyFill="1" applyBorder="1" applyAlignment="1" applyProtection="1">
      <alignment horizontal="center" wrapText="1"/>
    </xf>
    <xf numFmtId="0" fontId="34" fillId="8" borderId="5" xfId="4" applyBorder="1" applyAlignment="1" applyProtection="1">
      <alignment horizontal="center" vertical="center" wrapText="1"/>
      <protection locked="0"/>
    </xf>
    <xf numFmtId="0" fontId="67" fillId="11" borderId="5" xfId="0" applyFont="1" applyFill="1" applyBorder="1" applyAlignment="1" applyProtection="1">
      <alignment horizontal="center" vertical="center" wrapText="1"/>
    </xf>
    <xf numFmtId="0" fontId="74" fillId="8" borderId="5" xfId="4" applyFont="1" applyBorder="1" applyAlignment="1" applyProtection="1">
      <alignment horizontal="center" vertical="center" wrapText="1"/>
      <protection locked="0"/>
    </xf>
    <xf numFmtId="0" fontId="42" fillId="8" borderId="10" xfId="4" applyFont="1" applyBorder="1" applyAlignment="1" applyProtection="1">
      <alignment horizontal="center" vertical="center" wrapText="1"/>
      <protection locked="0"/>
    </xf>
    <xf numFmtId="0" fontId="37" fillId="11" borderId="35" xfId="0" applyFont="1" applyFill="1" applyBorder="1" applyAlignment="1" applyProtection="1">
      <alignment horizontal="left" vertical="center" wrapText="1"/>
    </xf>
    <xf numFmtId="0" fontId="39" fillId="8" borderId="27" xfId="4" applyFont="1" applyBorder="1" applyAlignment="1" applyProtection="1">
      <alignment horizontal="center" vertical="center"/>
      <protection locked="0"/>
    </xf>
    <xf numFmtId="10" fontId="39" fillId="8" borderId="27" xfId="4" applyNumberFormat="1" applyFont="1" applyBorder="1" applyAlignment="1" applyProtection="1">
      <alignment horizontal="center" vertical="center"/>
      <protection locked="0"/>
    </xf>
    <xf numFmtId="0" fontId="42" fillId="8" borderId="45" xfId="4" applyFont="1" applyBorder="1" applyAlignment="1" applyProtection="1">
      <alignment horizontal="center" vertical="center"/>
      <protection locked="0"/>
    </xf>
    <xf numFmtId="0" fontId="34" fillId="8" borderId="27" xfId="4" applyBorder="1" applyAlignment="1" applyProtection="1">
      <alignment vertical="center" wrapText="1"/>
      <protection locked="0"/>
    </xf>
    <xf numFmtId="0" fontId="37" fillId="11" borderId="27" xfId="0" applyFont="1" applyFill="1" applyBorder="1" applyAlignment="1" applyProtection="1">
      <alignment horizontal="center" wrapText="1"/>
    </xf>
    <xf numFmtId="0" fontId="42" fillId="8" borderId="65" xfId="4" applyFont="1" applyBorder="1" applyAlignment="1" applyProtection="1">
      <alignment horizontal="center" vertical="center"/>
      <protection locked="0"/>
    </xf>
    <xf numFmtId="0" fontId="0" fillId="0" borderId="28" xfId="0" applyBorder="1" applyProtection="1"/>
    <xf numFmtId="0" fontId="38" fillId="0" borderId="49" xfId="0" applyFont="1" applyFill="1" applyBorder="1" applyAlignment="1" applyProtection="1">
      <alignment vertical="center" wrapText="1"/>
    </xf>
    <xf numFmtId="0" fontId="41" fillId="2" borderId="49" xfId="0" applyFont="1" applyFill="1" applyBorder="1" applyAlignment="1" applyProtection="1">
      <alignment vertical="center" wrapText="1"/>
    </xf>
    <xf numFmtId="0" fontId="37" fillId="11" borderId="48" xfId="0" applyFont="1" applyFill="1" applyBorder="1" applyAlignment="1" applyProtection="1">
      <alignment horizontal="center" vertical="center" wrapText="1"/>
    </xf>
    <xf numFmtId="0" fontId="37" fillId="11" borderId="67" xfId="0" applyFont="1" applyFill="1" applyBorder="1" applyAlignment="1" applyProtection="1">
      <alignment horizontal="center" vertical="center"/>
    </xf>
    <xf numFmtId="0" fontId="34" fillId="12" borderId="49" xfId="4" applyFill="1" applyBorder="1" applyAlignment="1" applyProtection="1">
      <alignment vertical="center" wrapText="1"/>
      <protection locked="0"/>
    </xf>
    <xf numFmtId="0" fontId="34" fillId="12" borderId="45" xfId="4" applyFill="1" applyBorder="1" applyAlignment="1" applyProtection="1">
      <alignment horizontal="center" vertical="center" wrapText="1"/>
      <protection locked="0"/>
    </xf>
    <xf numFmtId="0" fontId="0" fillId="0" borderId="1" xfId="0" applyBorder="1" applyProtection="1"/>
    <xf numFmtId="0" fontId="38" fillId="0" borderId="58" xfId="0" applyFont="1" applyBorder="1" applyAlignment="1" applyProtection="1">
      <alignment horizontal="left" vertical="center"/>
    </xf>
    <xf numFmtId="0" fontId="40" fillId="0" borderId="5" xfId="0" applyFont="1" applyBorder="1" applyAlignment="1" applyProtection="1">
      <alignment horizontal="left" vertical="center"/>
    </xf>
    <xf numFmtId="0" fontId="38" fillId="0" borderId="5" xfId="0" applyFont="1" applyFill="1" applyBorder="1" applyAlignment="1" applyProtection="1">
      <alignment vertical="center" wrapText="1"/>
    </xf>
    <xf numFmtId="0" fontId="41" fillId="2" borderId="5" xfId="0" applyFont="1" applyFill="1" applyBorder="1" applyAlignment="1" applyProtection="1">
      <alignment vertical="center" wrapText="1"/>
    </xf>
    <xf numFmtId="0" fontId="42" fillId="12" borderId="5" xfId="4" applyFont="1" applyFill="1" applyBorder="1" applyAlignment="1" applyProtection="1">
      <alignment horizontal="center" vertical="center"/>
      <protection locked="0"/>
    </xf>
    <xf numFmtId="0" fontId="34" fillId="12" borderId="5" xfId="4" applyFill="1" applyBorder="1" applyAlignment="1" applyProtection="1">
      <alignment horizontal="center" vertical="center"/>
      <protection locked="0"/>
    </xf>
    <xf numFmtId="0" fontId="37" fillId="11" borderId="62" xfId="0" applyFont="1" applyFill="1" applyBorder="1" applyAlignment="1" applyProtection="1">
      <alignment horizontal="center" vertical="center" wrapText="1"/>
    </xf>
    <xf numFmtId="0" fontId="37" fillId="11" borderId="75" xfId="0" applyFont="1" applyFill="1" applyBorder="1" applyAlignment="1" applyProtection="1">
      <alignment horizontal="center" vertical="center"/>
    </xf>
    <xf numFmtId="0" fontId="34" fillId="12" borderId="5" xfId="4" applyFill="1" applyBorder="1" applyAlignment="1" applyProtection="1">
      <alignment vertical="center" wrapText="1"/>
      <protection locked="0"/>
    </xf>
    <xf numFmtId="0" fontId="37" fillId="11" borderId="44" xfId="0" applyFont="1" applyFill="1" applyBorder="1" applyAlignment="1" applyProtection="1">
      <alignment horizontal="center" vertical="center"/>
    </xf>
    <xf numFmtId="0" fontId="42" fillId="12" borderId="5" xfId="4" applyFont="1" applyFill="1" applyBorder="1" applyAlignment="1" applyProtection="1">
      <alignment horizontal="center" vertical="center" wrapText="1"/>
      <protection locked="0"/>
    </xf>
    <xf numFmtId="0" fontId="42" fillId="12" borderId="10" xfId="4" applyFont="1" applyFill="1" applyBorder="1" applyAlignment="1" applyProtection="1">
      <alignment horizontal="center" vertical="center" wrapText="1"/>
      <protection locked="0"/>
    </xf>
    <xf numFmtId="0" fontId="42" fillId="12" borderId="11" xfId="4" applyFont="1" applyFill="1" applyBorder="1" applyAlignment="1" applyProtection="1">
      <alignment horizontal="center" vertical="center"/>
      <protection locked="0"/>
    </xf>
    <xf numFmtId="0" fontId="34" fillId="12" borderId="49" xfId="4" applyFill="1" applyBorder="1" applyProtection="1">
      <protection locked="0"/>
    </xf>
    <xf numFmtId="10" fontId="34" fillId="8" borderId="9" xfId="4" applyNumberFormat="1" applyFont="1" applyBorder="1" applyAlignment="1" applyProtection="1">
      <alignment horizontal="center" vertical="center"/>
      <protection locked="0"/>
    </xf>
    <xf numFmtId="9" fontId="34" fillId="8" borderId="9" xfId="6" applyFont="1" applyFill="1" applyBorder="1" applyAlignment="1" applyProtection="1">
      <alignment horizontal="center" vertical="center"/>
      <protection locked="0"/>
    </xf>
    <xf numFmtId="0" fontId="1" fillId="2" borderId="9" xfId="0" applyFont="1" applyFill="1" applyBorder="1" applyAlignment="1" applyProtection="1">
      <alignment vertical="top" wrapText="1"/>
    </xf>
    <xf numFmtId="14" fontId="1" fillId="2" borderId="9" xfId="0" applyNumberFormat="1" applyFont="1" applyFill="1" applyBorder="1" applyAlignment="1" applyProtection="1">
      <alignment vertical="top" wrapText="1"/>
    </xf>
    <xf numFmtId="0" fontId="75" fillId="18" borderId="53" xfId="0" applyFont="1" applyFill="1" applyBorder="1" applyAlignment="1">
      <alignment horizontal="center" vertical="center" wrapText="1"/>
    </xf>
    <xf numFmtId="166" fontId="92" fillId="18" borderId="9" xfId="5" applyNumberFormat="1" applyFont="1" applyFill="1" applyBorder="1" applyAlignment="1">
      <alignment horizontal="right" vertical="center"/>
    </xf>
    <xf numFmtId="166" fontId="79" fillId="18" borderId="27" xfId="5" quotePrefix="1" applyNumberFormat="1" applyFont="1" applyFill="1" applyBorder="1" applyAlignment="1">
      <alignment horizontal="center" vertical="center"/>
    </xf>
    <xf numFmtId="166" fontId="51" fillId="18" borderId="9" xfId="5" applyNumberFormat="1" applyFont="1" applyFill="1" applyBorder="1" applyAlignment="1">
      <alignment horizontal="right" vertical="center"/>
    </xf>
    <xf numFmtId="166" fontId="55" fillId="18" borderId="9" xfId="5" applyNumberFormat="1" applyFont="1" applyFill="1" applyBorder="1" applyAlignment="1">
      <alignment horizontal="right" vertical="center"/>
    </xf>
    <xf numFmtId="166" fontId="79" fillId="18" borderId="9" xfId="5" applyNumberFormat="1" applyFont="1" applyFill="1" applyBorder="1" applyAlignment="1">
      <alignment horizontal="center" vertical="center" wrapText="1"/>
    </xf>
    <xf numFmtId="166" fontId="92" fillId="18" borderId="9" xfId="5" applyNumberFormat="1" applyFont="1" applyFill="1" applyBorder="1" applyAlignment="1">
      <alignment horizontal="center" vertical="center" wrapText="1"/>
    </xf>
    <xf numFmtId="166" fontId="79" fillId="18" borderId="63" xfId="5" applyNumberFormat="1" applyFont="1" applyFill="1" applyBorder="1" applyAlignment="1">
      <alignment horizontal="center" vertical="center" wrapText="1"/>
    </xf>
    <xf numFmtId="166" fontId="110" fillId="18" borderId="9" xfId="5" applyNumberFormat="1" applyFont="1" applyFill="1" applyBorder="1" applyAlignment="1">
      <alignment horizontal="center" vertical="center" wrapText="1"/>
    </xf>
    <xf numFmtId="9" fontId="0" fillId="18" borderId="0" xfId="6" applyFont="1" applyFill="1" applyAlignment="1">
      <alignment horizontal="center"/>
    </xf>
    <xf numFmtId="166" fontId="80" fillId="18" borderId="9" xfId="5" applyNumberFormat="1" applyFont="1" applyFill="1" applyBorder="1" applyAlignment="1">
      <alignment horizontal="right" vertical="center"/>
    </xf>
    <xf numFmtId="166" fontId="44" fillId="18" borderId="0" xfId="5" applyNumberFormat="1" applyFont="1" applyFill="1" applyAlignment="1">
      <alignment horizontal="center" vertical="center"/>
    </xf>
    <xf numFmtId="166" fontId="0" fillId="18" borderId="0" xfId="0" applyNumberFormat="1" applyFill="1"/>
    <xf numFmtId="166" fontId="79" fillId="18" borderId="0" xfId="5" applyNumberFormat="1" applyFont="1" applyFill="1" applyBorder="1" applyAlignment="1">
      <alignment horizontal="center" vertical="center" wrapText="1"/>
    </xf>
    <xf numFmtId="166" fontId="66" fillId="18" borderId="0" xfId="5" applyNumberFormat="1" applyFont="1" applyFill="1"/>
    <xf numFmtId="166" fontId="126" fillId="18" borderId="9" xfId="5" applyNumberFormat="1" applyFont="1" applyFill="1" applyBorder="1" applyAlignment="1">
      <alignment horizontal="center" vertical="center"/>
    </xf>
    <xf numFmtId="166" fontId="111" fillId="18" borderId="9" xfId="5" applyNumberFormat="1" applyFont="1" applyFill="1" applyBorder="1" applyAlignment="1">
      <alignment horizontal="right" vertical="center"/>
    </xf>
    <xf numFmtId="166" fontId="126" fillId="18" borderId="9" xfId="0" applyNumberFormat="1" applyFont="1" applyFill="1" applyBorder="1" applyAlignment="1">
      <alignment vertical="center"/>
    </xf>
    <xf numFmtId="166" fontId="20" fillId="0" borderId="0" xfId="5" applyNumberFormat="1" applyFont="1"/>
    <xf numFmtId="166" fontId="1" fillId="3" borderId="0" xfId="5" applyNumberFormat="1" applyFont="1" applyFill="1" applyBorder="1" applyAlignment="1" applyProtection="1">
      <alignment vertical="top" wrapText="1"/>
    </xf>
    <xf numFmtId="166" fontId="127" fillId="36" borderId="9" xfId="5" applyNumberFormat="1" applyFont="1" applyFill="1" applyBorder="1" applyAlignment="1">
      <alignment horizontal="right" vertical="center"/>
    </xf>
    <xf numFmtId="166" fontId="128" fillId="19" borderId="9" xfId="5" applyNumberFormat="1" applyFont="1" applyFill="1" applyBorder="1" applyAlignment="1">
      <alignment horizontal="right" vertical="center"/>
    </xf>
    <xf numFmtId="166" fontId="127" fillId="19" borderId="9" xfId="5" applyNumberFormat="1" applyFont="1" applyFill="1" applyBorder="1" applyAlignment="1">
      <alignment horizontal="right" vertical="center"/>
    </xf>
    <xf numFmtId="166" fontId="0" fillId="0" borderId="0" xfId="0" applyNumberFormat="1" applyAlignment="1">
      <alignment vertical="center"/>
    </xf>
    <xf numFmtId="0" fontId="2" fillId="3"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57" fillId="0" borderId="9" xfId="0" applyFont="1" applyBorder="1" applyAlignment="1">
      <alignment horizontal="center"/>
    </xf>
    <xf numFmtId="0" fontId="57" fillId="0" borderId="9" xfId="0" applyFont="1" applyBorder="1"/>
    <xf numFmtId="166" fontId="79" fillId="0" borderId="9" xfId="5" applyNumberFormat="1" applyFont="1" applyBorder="1" applyAlignment="1">
      <alignment horizontal="right"/>
    </xf>
    <xf numFmtId="166" fontId="66" fillId="0" borderId="9" xfId="5" applyNumberFormat="1" applyFont="1" applyBorder="1"/>
    <xf numFmtId="166" fontId="75" fillId="0" borderId="9" xfId="5" applyNumberFormat="1" applyFont="1" applyBorder="1" applyAlignment="1">
      <alignment horizontal="right"/>
    </xf>
    <xf numFmtId="166" fontId="79" fillId="36" borderId="9" xfId="5" applyNumberFormat="1" applyFont="1" applyFill="1" applyBorder="1" applyAlignment="1">
      <alignment horizontal="right" vertical="center"/>
    </xf>
    <xf numFmtId="9" fontId="64" fillId="0" borderId="0" xfId="6" applyFont="1" applyAlignment="1" applyProtection="1">
      <alignment horizontal="left"/>
    </xf>
    <xf numFmtId="166" fontId="113" fillId="8" borderId="9" xfId="5" applyNumberFormat="1" applyFont="1" applyFill="1" applyBorder="1" applyAlignment="1" applyProtection="1">
      <alignment horizontal="center" vertical="center"/>
      <protection locked="0"/>
    </xf>
    <xf numFmtId="0" fontId="129" fillId="8" borderId="9" xfId="4" applyFont="1" applyBorder="1" applyAlignment="1" applyProtection="1">
      <alignment horizontal="center" vertical="center"/>
      <protection locked="0"/>
    </xf>
    <xf numFmtId="0" fontId="129" fillId="12" borderId="9" xfId="4" applyFont="1" applyFill="1" applyBorder="1" applyAlignment="1" applyProtection="1">
      <alignment horizontal="center" vertical="center" wrapText="1"/>
      <protection locked="0"/>
    </xf>
    <xf numFmtId="0" fontId="75" fillId="24" borderId="9" xfId="0" applyFont="1" applyFill="1" applyBorder="1" applyAlignment="1">
      <alignment horizontal="center" vertical="center" wrapText="1"/>
    </xf>
    <xf numFmtId="9" fontId="75" fillId="15" borderId="9" xfId="0" applyNumberFormat="1" applyFont="1" applyFill="1" applyBorder="1" applyAlignment="1">
      <alignment horizontal="center" vertical="center" wrapText="1"/>
    </xf>
    <xf numFmtId="0" fontId="58" fillId="30" borderId="9" xfId="0" applyFont="1" applyFill="1" applyBorder="1" applyAlignment="1">
      <alignment horizontal="left" vertical="center" wrapText="1"/>
    </xf>
    <xf numFmtId="9" fontId="90" fillId="15" borderId="9" xfId="6" applyFont="1" applyFill="1" applyBorder="1" applyAlignment="1">
      <alignment horizontal="center" vertical="center"/>
    </xf>
    <xf numFmtId="9" fontId="0" fillId="15" borderId="9" xfId="6" applyFont="1" applyFill="1" applyBorder="1" applyAlignment="1">
      <alignment horizontal="center" vertical="center"/>
    </xf>
    <xf numFmtId="0" fontId="2" fillId="3" borderId="0" xfId="0" applyFont="1" applyFill="1" applyBorder="1" applyAlignment="1" applyProtection="1">
      <alignment horizontal="left" vertical="center" wrapText="1"/>
    </xf>
    <xf numFmtId="166" fontId="99" fillId="35" borderId="9" xfId="5" applyNumberFormat="1" applyFont="1" applyFill="1" applyBorder="1" applyAlignment="1">
      <alignment horizontal="center" vertical="center" wrapText="1"/>
    </xf>
    <xf numFmtId="166" fontId="75" fillId="31" borderId="9" xfId="5" applyNumberFormat="1" applyFont="1" applyFill="1" applyBorder="1" applyAlignment="1">
      <alignment horizontal="center" vertical="center" wrapText="1"/>
    </xf>
    <xf numFmtId="0" fontId="75" fillId="18" borderId="9" xfId="0" applyFont="1" applyFill="1" applyBorder="1" applyAlignment="1">
      <alignment horizontal="center" vertical="center" wrapText="1"/>
    </xf>
    <xf numFmtId="166" fontId="78" fillId="18" borderId="9" xfId="5" applyNumberFormat="1" applyFont="1" applyFill="1" applyBorder="1" applyAlignment="1">
      <alignment horizontal="right" vertical="center"/>
    </xf>
    <xf numFmtId="166" fontId="101" fillId="18" borderId="9" xfId="5" applyNumberFormat="1" applyFont="1" applyFill="1" applyBorder="1" applyAlignment="1">
      <alignment horizontal="center" vertical="center"/>
    </xf>
    <xf numFmtId="166" fontId="109" fillId="18" borderId="9" xfId="0" applyNumberFormat="1" applyFont="1" applyFill="1" applyBorder="1" applyAlignment="1">
      <alignment vertical="center"/>
    </xf>
    <xf numFmtId="0" fontId="58" fillId="19" borderId="27" xfId="0" applyFont="1" applyFill="1" applyBorder="1" applyAlignment="1">
      <alignment horizontal="left" vertical="center" wrapText="1"/>
    </xf>
    <xf numFmtId="0" fontId="104" fillId="19" borderId="6" xfId="0" applyFont="1" applyFill="1" applyBorder="1" applyAlignment="1">
      <alignment vertical="center" wrapText="1"/>
    </xf>
    <xf numFmtId="166" fontId="92" fillId="19" borderId="5" xfId="5" applyNumberFormat="1" applyFont="1" applyFill="1" applyBorder="1" applyAlignment="1">
      <alignment horizontal="center" vertical="center" wrapText="1"/>
    </xf>
    <xf numFmtId="166" fontId="92" fillId="19" borderId="9" xfId="5" applyNumberFormat="1" applyFont="1" applyFill="1" applyBorder="1" applyAlignment="1">
      <alignment horizontal="center" vertical="center" wrapText="1"/>
    </xf>
    <xf numFmtId="9" fontId="90" fillId="19" borderId="9" xfId="6" applyFont="1" applyFill="1" applyBorder="1" applyAlignment="1">
      <alignment horizontal="center" vertical="center"/>
    </xf>
    <xf numFmtId="9" fontId="0" fillId="19" borderId="6" xfId="6" applyFont="1" applyFill="1" applyBorder="1" applyAlignment="1">
      <alignment horizontal="center" vertical="center"/>
    </xf>
    <xf numFmtId="0" fontId="0" fillId="19" borderId="0" xfId="0" applyFill="1"/>
    <xf numFmtId="166" fontId="99" fillId="19" borderId="5" xfId="5" applyNumberFormat="1" applyFont="1" applyFill="1" applyBorder="1" applyAlignment="1">
      <alignment horizontal="center" vertical="center" wrapText="1"/>
    </xf>
    <xf numFmtId="9" fontId="0" fillId="19" borderId="9" xfId="6" applyFont="1" applyFill="1" applyBorder="1" applyAlignment="1">
      <alignment horizontal="center" vertical="center"/>
    </xf>
    <xf numFmtId="166" fontId="79" fillId="19" borderId="9" xfId="5" applyNumberFormat="1" applyFont="1" applyFill="1" applyBorder="1" applyAlignment="1">
      <alignment horizontal="center" vertical="center" wrapText="1"/>
    </xf>
    <xf numFmtId="166" fontId="79" fillId="19" borderId="6" xfId="5" applyNumberFormat="1" applyFont="1" applyFill="1" applyBorder="1" applyAlignment="1">
      <alignment horizontal="center" vertical="center" wrapText="1"/>
    </xf>
    <xf numFmtId="166" fontId="0" fillId="19" borderId="0" xfId="5" applyNumberFormat="1" applyFont="1" applyFill="1"/>
    <xf numFmtId="166" fontId="79" fillId="19" borderId="27" xfId="5" applyNumberFormat="1" applyFont="1" applyFill="1" applyBorder="1" applyAlignment="1">
      <alignment horizontal="right" vertical="center"/>
    </xf>
    <xf numFmtId="166" fontId="0" fillId="19" borderId="9" xfId="5" applyNumberFormat="1" applyFont="1" applyFill="1" applyBorder="1" applyAlignment="1">
      <alignment horizontal="center" vertical="center"/>
    </xf>
    <xf numFmtId="166" fontId="0" fillId="19" borderId="0" xfId="5" applyNumberFormat="1" applyFont="1" applyFill="1" applyBorder="1" applyAlignment="1">
      <alignment horizontal="center" vertical="center"/>
    </xf>
    <xf numFmtId="166" fontId="86" fillId="2" borderId="9" xfId="5" applyNumberFormat="1" applyFont="1" applyFill="1" applyBorder="1" applyAlignment="1" applyProtection="1">
      <alignment vertical="top" wrapText="1"/>
    </xf>
    <xf numFmtId="0" fontId="116" fillId="0" borderId="53" xfId="0" applyFont="1" applyFill="1" applyBorder="1" applyAlignment="1">
      <alignment horizontal="center" vertical="center"/>
    </xf>
    <xf numFmtId="166" fontId="116" fillId="0" borderId="53" xfId="5" applyNumberFormat="1" applyFont="1" applyFill="1" applyBorder="1" applyAlignment="1">
      <alignment horizontal="right"/>
    </xf>
    <xf numFmtId="166" fontId="132" fillId="27" borderId="59" xfId="0" applyNumberFormat="1" applyFont="1" applyFill="1" applyBorder="1"/>
    <xf numFmtId="166" fontId="132" fillId="27" borderId="53" xfId="0" applyNumberFormat="1" applyFont="1" applyFill="1" applyBorder="1"/>
    <xf numFmtId="166" fontId="132" fillId="27" borderId="26" xfId="0" applyNumberFormat="1" applyFont="1" applyFill="1" applyBorder="1"/>
    <xf numFmtId="166" fontId="119" fillId="0" borderId="59" xfId="0" applyNumberFormat="1" applyFont="1" applyBorder="1"/>
    <xf numFmtId="9" fontId="119" fillId="0" borderId="53" xfId="6" applyFont="1" applyBorder="1" applyAlignment="1">
      <alignment horizontal="center"/>
    </xf>
    <xf numFmtId="166" fontId="119" fillId="0" borderId="37" xfId="0" applyNumberFormat="1" applyFont="1" applyBorder="1"/>
    <xf numFmtId="0" fontId="116" fillId="0" borderId="9" xfId="0" applyFont="1" applyFill="1" applyBorder="1" applyAlignment="1">
      <alignment horizontal="center" vertical="center"/>
    </xf>
    <xf numFmtId="166" fontId="132" fillId="27" borderId="5" xfId="0" applyNumberFormat="1" applyFont="1" applyFill="1" applyBorder="1"/>
    <xf numFmtId="166" fontId="132" fillId="27" borderId="9" xfId="0" applyNumberFormat="1" applyFont="1" applyFill="1" applyBorder="1"/>
    <xf numFmtId="166" fontId="132" fillId="27" borderId="27" xfId="0" applyNumberFormat="1" applyFont="1" applyFill="1" applyBorder="1"/>
    <xf numFmtId="166" fontId="119" fillId="0" borderId="5" xfId="0" applyNumberFormat="1" applyFont="1" applyBorder="1"/>
    <xf numFmtId="9" fontId="119" fillId="0" borderId="9" xfId="6" applyFont="1" applyBorder="1" applyAlignment="1">
      <alignment horizontal="center"/>
    </xf>
    <xf numFmtId="166" fontId="119" fillId="0" borderId="6" xfId="0" applyNumberFormat="1" applyFont="1" applyBorder="1"/>
    <xf numFmtId="0" fontId="116" fillId="0" borderId="9" xfId="0" applyFont="1" applyFill="1" applyBorder="1" applyAlignment="1">
      <alignment horizontal="center" wrapText="1"/>
    </xf>
    <xf numFmtId="166" fontId="116" fillId="0" borderId="27" xfId="5" applyNumberFormat="1" applyFont="1" applyFill="1" applyBorder="1" applyAlignment="1">
      <alignment horizontal="right" vertical="center"/>
    </xf>
    <xf numFmtId="0" fontId="116" fillId="0" borderId="9" xfId="0" applyFont="1" applyFill="1" applyBorder="1" applyAlignment="1">
      <alignment horizontal="center"/>
    </xf>
    <xf numFmtId="166" fontId="118" fillId="0" borderId="9" xfId="5" applyNumberFormat="1" applyFont="1" applyFill="1" applyBorder="1" applyAlignment="1">
      <alignment horizontal="right" vertical="center"/>
    </xf>
    <xf numFmtId="164" fontId="116" fillId="0" borderId="9" xfId="5" applyFont="1" applyFill="1" applyBorder="1" applyAlignment="1">
      <alignment horizontal="left" vertical="center"/>
    </xf>
    <xf numFmtId="0" fontId="132" fillId="27" borderId="5" xfId="0" applyFont="1" applyFill="1" applyBorder="1" applyAlignment="1">
      <alignment vertical="center"/>
    </xf>
    <xf numFmtId="166" fontId="118" fillId="27" borderId="9" xfId="5" applyNumberFormat="1" applyFont="1" applyFill="1" applyBorder="1" applyAlignment="1">
      <alignment horizontal="right" vertical="center"/>
    </xf>
    <xf numFmtId="166" fontId="118" fillId="27" borderId="27" xfId="5" applyNumberFormat="1" applyFont="1" applyFill="1" applyBorder="1" applyAlignment="1">
      <alignment horizontal="right" vertical="center"/>
    </xf>
    <xf numFmtId="166" fontId="119" fillId="0" borderId="5" xfId="0" applyNumberFormat="1" applyFont="1" applyBorder="1" applyAlignment="1">
      <alignment vertical="center"/>
    </xf>
    <xf numFmtId="164" fontId="132" fillId="27" borderId="9" xfId="5" applyFont="1" applyFill="1" applyBorder="1" applyAlignment="1">
      <alignment vertical="center"/>
    </xf>
    <xf numFmtId="164" fontId="132" fillId="27" borderId="27" xfId="5" applyFont="1" applyFill="1" applyBorder="1" applyAlignment="1">
      <alignment vertical="center"/>
    </xf>
    <xf numFmtId="164" fontId="116" fillId="0" borderId="63" xfId="5" applyFont="1" applyFill="1" applyBorder="1" applyAlignment="1">
      <alignment horizontal="left" vertical="center"/>
    </xf>
    <xf numFmtId="0" fontId="132" fillId="27" borderId="10" xfId="0" applyFont="1" applyFill="1" applyBorder="1" applyAlignment="1">
      <alignment vertical="center"/>
    </xf>
    <xf numFmtId="164" fontId="132" fillId="27" borderId="63" xfId="5" applyFont="1" applyFill="1" applyBorder="1" applyAlignment="1">
      <alignment vertical="center"/>
    </xf>
    <xf numFmtId="164" fontId="132" fillId="27" borderId="65" xfId="5" applyFont="1" applyFill="1" applyBorder="1" applyAlignment="1">
      <alignment vertical="center"/>
    </xf>
    <xf numFmtId="166" fontId="119" fillId="0" borderId="10" xfId="0" applyNumberFormat="1" applyFont="1" applyBorder="1" applyAlignment="1">
      <alignment vertical="center"/>
    </xf>
    <xf numFmtId="9" fontId="119" fillId="0" borderId="63" xfId="6" applyFont="1" applyBorder="1" applyAlignment="1">
      <alignment horizontal="center"/>
    </xf>
    <xf numFmtId="166" fontId="119" fillId="0" borderId="11" xfId="0" applyNumberFormat="1" applyFont="1" applyBorder="1"/>
    <xf numFmtId="166" fontId="118" fillId="0" borderId="56" xfId="5" applyNumberFormat="1" applyFont="1" applyFill="1" applyBorder="1" applyAlignment="1">
      <alignment horizontal="right"/>
    </xf>
    <xf numFmtId="166" fontId="116" fillId="0" borderId="32" xfId="5" applyNumberFormat="1" applyFont="1" applyFill="1" applyBorder="1" applyAlignment="1">
      <alignment horizontal="right" vertical="center"/>
    </xf>
    <xf numFmtId="0" fontId="119" fillId="27" borderId="29" xfId="0" applyFont="1" applyFill="1" applyBorder="1"/>
    <xf numFmtId="164" fontId="119" fillId="27" borderId="56" xfId="5" applyFont="1" applyFill="1" applyBorder="1"/>
    <xf numFmtId="164" fontId="119" fillId="27" borderId="15" xfId="5" applyFont="1" applyFill="1" applyBorder="1"/>
    <xf numFmtId="166" fontId="119" fillId="0" borderId="29" xfId="0" applyNumberFormat="1" applyFont="1" applyBorder="1"/>
    <xf numFmtId="9" fontId="119" fillId="0" borderId="56" xfId="6" applyFont="1" applyFill="1" applyBorder="1" applyAlignment="1">
      <alignment horizontal="center"/>
    </xf>
    <xf numFmtId="166" fontId="119" fillId="0" borderId="15" xfId="0" applyNumberFormat="1" applyFont="1" applyBorder="1"/>
    <xf numFmtId="166" fontId="37" fillId="27" borderId="8" xfId="0" applyNumberFormat="1" applyFont="1" applyFill="1" applyBorder="1"/>
    <xf numFmtId="166" fontId="37" fillId="27" borderId="7" xfId="0" applyNumberFormat="1" applyFont="1" applyFill="1" applyBorder="1"/>
    <xf numFmtId="166" fontId="119" fillId="0" borderId="58" xfId="0" applyNumberFormat="1" applyFont="1" applyBorder="1"/>
    <xf numFmtId="9" fontId="119" fillId="0" borderId="8" xfId="6" applyFont="1" applyFill="1" applyBorder="1" applyAlignment="1">
      <alignment horizontal="center"/>
    </xf>
    <xf numFmtId="166" fontId="119" fillId="0" borderId="7" xfId="0" applyNumberFormat="1" applyFont="1" applyBorder="1"/>
    <xf numFmtId="166" fontId="37" fillId="27" borderId="9" xfId="0" applyNumberFormat="1" applyFont="1" applyFill="1" applyBorder="1"/>
    <xf numFmtId="166" fontId="37" fillId="27" borderId="6" xfId="0" applyNumberFormat="1" applyFont="1" applyFill="1" applyBorder="1"/>
    <xf numFmtId="9" fontId="119" fillId="0" borderId="9" xfId="6" applyFont="1" applyFill="1" applyBorder="1" applyAlignment="1">
      <alignment horizontal="center"/>
    </xf>
    <xf numFmtId="166" fontId="116" fillId="0" borderId="27" xfId="5" applyNumberFormat="1" applyFont="1" applyFill="1" applyBorder="1" applyAlignment="1">
      <alignment horizontal="right"/>
    </xf>
    <xf numFmtId="0" fontId="37" fillId="27" borderId="5" xfId="0" applyFont="1" applyFill="1" applyBorder="1"/>
    <xf numFmtId="166" fontId="37" fillId="27" borderId="9" xfId="5" applyNumberFormat="1" applyFont="1" applyFill="1" applyBorder="1"/>
    <xf numFmtId="166" fontId="37" fillId="27" borderId="6" xfId="5" applyNumberFormat="1" applyFont="1" applyFill="1" applyBorder="1"/>
    <xf numFmtId="0" fontId="116" fillId="0" borderId="9" xfId="0" applyFont="1" applyFill="1" applyBorder="1" applyAlignment="1">
      <alignment horizontal="left" vertical="center" wrapText="1"/>
    </xf>
    <xf numFmtId="166" fontId="116" fillId="0" borderId="9" xfId="5" applyNumberFormat="1" applyFont="1" applyFill="1" applyBorder="1" applyAlignment="1">
      <alignment vertical="center"/>
    </xf>
    <xf numFmtId="166" fontId="118" fillId="0" borderId="9" xfId="5" applyNumberFormat="1" applyFont="1" applyFill="1" applyBorder="1" applyAlignment="1">
      <alignment vertical="center"/>
    </xf>
    <xf numFmtId="166" fontId="116" fillId="0" borderId="65" xfId="5" applyNumberFormat="1" applyFont="1" applyFill="1" applyBorder="1" applyAlignment="1">
      <alignment horizontal="right"/>
    </xf>
    <xf numFmtId="0" fontId="37" fillId="27" borderId="10" xfId="0" applyFont="1" applyFill="1" applyBorder="1"/>
    <xf numFmtId="0" fontId="37" fillId="27" borderId="63" xfId="0" applyFont="1" applyFill="1" applyBorder="1"/>
    <xf numFmtId="0" fontId="37" fillId="27" borderId="11" xfId="0" applyFont="1" applyFill="1" applyBorder="1"/>
    <xf numFmtId="166" fontId="119" fillId="0" borderId="10" xfId="0" applyNumberFormat="1" applyFont="1" applyBorder="1"/>
    <xf numFmtId="9" fontId="119" fillId="0" borderId="63" xfId="6" applyFont="1" applyFill="1" applyBorder="1" applyAlignment="1">
      <alignment horizontal="center"/>
    </xf>
    <xf numFmtId="0" fontId="50" fillId="0" borderId="0" xfId="0" applyFont="1" applyAlignment="1">
      <alignment horizontal="left" vertical="center"/>
    </xf>
    <xf numFmtId="166" fontId="131" fillId="13" borderId="56" xfId="5" applyNumberFormat="1" applyFont="1" applyFill="1" applyBorder="1" applyAlignment="1">
      <alignment horizontal="right"/>
    </xf>
    <xf numFmtId="166" fontId="131" fillId="13" borderId="56" xfId="5" quotePrefix="1" applyNumberFormat="1" applyFont="1" applyFill="1" applyBorder="1" applyAlignment="1">
      <alignment horizontal="left" vertical="center"/>
    </xf>
    <xf numFmtId="166" fontId="60" fillId="13" borderId="32" xfId="5" applyNumberFormat="1" applyFont="1" applyFill="1" applyBorder="1" applyAlignment="1">
      <alignment horizontal="right"/>
    </xf>
    <xf numFmtId="166" fontId="131" fillId="13" borderId="29" xfId="5" applyNumberFormat="1" applyFont="1" applyFill="1" applyBorder="1" applyAlignment="1">
      <alignment horizontal="right"/>
    </xf>
    <xf numFmtId="166" fontId="131" fillId="13" borderId="15" xfId="5" applyNumberFormat="1" applyFont="1" applyFill="1" applyBorder="1" applyAlignment="1">
      <alignment horizontal="right"/>
    </xf>
    <xf numFmtId="166" fontId="131" fillId="13" borderId="14" xfId="5" applyNumberFormat="1" applyFont="1" applyFill="1" applyBorder="1" applyAlignment="1">
      <alignment horizontal="right"/>
    </xf>
    <xf numFmtId="166" fontId="131" fillId="13" borderId="55" xfId="5" applyNumberFormat="1" applyFont="1" applyFill="1" applyBorder="1" applyAlignment="1">
      <alignment horizontal="right"/>
    </xf>
    <xf numFmtId="166" fontId="66" fillId="19" borderId="0" xfId="0" applyNumberFormat="1" applyFont="1" applyFill="1"/>
    <xf numFmtId="0" fontId="116" fillId="18" borderId="9" xfId="0" applyFont="1" applyFill="1" applyBorder="1" applyAlignment="1">
      <alignment wrapText="1"/>
    </xf>
    <xf numFmtId="164" fontId="116" fillId="18" borderId="9" xfId="5" applyFont="1" applyFill="1" applyBorder="1" applyAlignment="1">
      <alignment horizontal="left" vertical="center"/>
    </xf>
    <xf numFmtId="166" fontId="118" fillId="18" borderId="9" xfId="5" applyNumberFormat="1" applyFont="1" applyFill="1" applyBorder="1" applyAlignment="1">
      <alignment horizontal="right" vertical="center"/>
    </xf>
    <xf numFmtId="0" fontId="116" fillId="18" borderId="34" xfId="0" applyFont="1" applyFill="1" applyBorder="1" applyAlignment="1">
      <alignment wrapText="1"/>
    </xf>
    <xf numFmtId="0" fontId="116" fillId="19" borderId="53" xfId="0" applyFont="1" applyFill="1" applyBorder="1" applyAlignment="1"/>
    <xf numFmtId="0" fontId="116" fillId="19" borderId="9" xfId="0" applyFont="1" applyFill="1" applyBorder="1" applyAlignment="1"/>
    <xf numFmtId="0" fontId="116" fillId="19" borderId="9" xfId="0" applyFont="1" applyFill="1" applyBorder="1" applyAlignment="1">
      <alignment vertical="center" wrapText="1"/>
    </xf>
    <xf numFmtId="0" fontId="116" fillId="19" borderId="53" xfId="0" applyFont="1" applyFill="1" applyBorder="1" applyAlignment="1">
      <alignment horizontal="left" vertical="center"/>
    </xf>
    <xf numFmtId="0" fontId="116" fillId="19" borderId="9" xfId="0" applyFont="1" applyFill="1" applyBorder="1" applyAlignment="1">
      <alignment horizontal="left" vertical="center"/>
    </xf>
    <xf numFmtId="166" fontId="118" fillId="19" borderId="9" xfId="5" applyNumberFormat="1" applyFont="1" applyFill="1" applyBorder="1" applyAlignment="1">
      <alignment horizontal="right" vertical="center"/>
    </xf>
    <xf numFmtId="166" fontId="118" fillId="19" borderId="53" xfId="5" applyNumberFormat="1" applyFont="1" applyFill="1" applyBorder="1" applyAlignment="1">
      <alignment horizontal="right" vertical="center"/>
    </xf>
    <xf numFmtId="164" fontId="116" fillId="18" borderId="63" xfId="5" applyFont="1" applyFill="1" applyBorder="1" applyAlignment="1">
      <alignment horizontal="left" vertical="center"/>
    </xf>
    <xf numFmtId="166" fontId="118" fillId="18" borderId="63" xfId="5" applyNumberFormat="1" applyFont="1" applyFill="1" applyBorder="1" applyAlignment="1">
      <alignment horizontal="right" vertical="center"/>
    </xf>
    <xf numFmtId="164" fontId="116" fillId="18" borderId="8" xfId="5" applyFont="1" applyFill="1" applyBorder="1" applyAlignment="1">
      <alignment horizontal="left" vertical="center"/>
    </xf>
    <xf numFmtId="164" fontId="116" fillId="18" borderId="56" xfId="5" applyFont="1" applyFill="1" applyBorder="1" applyAlignment="1">
      <alignment horizontal="left" vertical="center"/>
    </xf>
    <xf numFmtId="166" fontId="118" fillId="18" borderId="56" xfId="5" applyNumberFormat="1" applyFont="1" applyFill="1" applyBorder="1" applyAlignment="1">
      <alignment horizontal="right"/>
    </xf>
    <xf numFmtId="166" fontId="118" fillId="18" borderId="8" xfId="5" applyNumberFormat="1" applyFont="1" applyFill="1" applyBorder="1" applyAlignment="1">
      <alignment horizontal="right"/>
    </xf>
    <xf numFmtId="166" fontId="118" fillId="18" borderId="9" xfId="5" applyNumberFormat="1" applyFont="1" applyFill="1" applyBorder="1" applyAlignment="1">
      <alignment horizontal="right"/>
    </xf>
    <xf numFmtId="0" fontId="76" fillId="30" borderId="44" xfId="0" applyFont="1" applyFill="1" applyBorder="1" applyAlignment="1">
      <alignment horizontal="center" vertical="center" wrapText="1"/>
    </xf>
    <xf numFmtId="166" fontId="75" fillId="30" borderId="49" xfId="5" applyNumberFormat="1" applyFont="1" applyFill="1" applyBorder="1" applyAlignment="1">
      <alignment horizontal="center" vertical="center" wrapText="1"/>
    </xf>
    <xf numFmtId="166" fontId="79" fillId="30" borderId="49" xfId="5" applyNumberFormat="1" applyFont="1" applyFill="1" applyBorder="1" applyAlignment="1">
      <alignment horizontal="left" vertical="center" wrapText="1"/>
    </xf>
    <xf numFmtId="166" fontId="79" fillId="30" borderId="49" xfId="5" applyNumberFormat="1" applyFont="1" applyFill="1" applyBorder="1" applyAlignment="1">
      <alignment horizontal="center" vertical="center" wrapText="1"/>
    </xf>
    <xf numFmtId="166" fontId="51" fillId="28" borderId="49" xfId="5" applyNumberFormat="1" applyFont="1" applyFill="1" applyBorder="1" applyAlignment="1">
      <alignment horizontal="right" vertical="center"/>
    </xf>
    <xf numFmtId="0" fontId="94" fillId="42" borderId="9" xfId="0" applyFont="1" applyFill="1" applyBorder="1" applyAlignment="1">
      <alignment horizontal="left" vertical="center" wrapText="1"/>
    </xf>
    <xf numFmtId="0" fontId="140" fillId="40" borderId="9" xfId="0" applyFont="1" applyFill="1" applyBorder="1" applyAlignment="1">
      <alignment horizontal="center" vertical="center"/>
    </xf>
    <xf numFmtId="0" fontId="1" fillId="40" borderId="9" xfId="0" applyFont="1" applyFill="1" applyBorder="1" applyAlignment="1" applyProtection="1">
      <alignment vertical="top" wrapText="1"/>
    </xf>
    <xf numFmtId="14" fontId="1" fillId="40" borderId="9" xfId="0" applyNumberFormat="1" applyFont="1" applyFill="1" applyBorder="1" applyAlignment="1" applyProtection="1">
      <alignment vertical="top" wrapText="1"/>
    </xf>
    <xf numFmtId="14" fontId="121" fillId="40" borderId="9" xfId="0" applyNumberFormat="1" applyFont="1" applyFill="1" applyBorder="1" applyAlignment="1" applyProtection="1">
      <alignment vertical="top" wrapText="1"/>
    </xf>
    <xf numFmtId="164" fontId="141" fillId="0" borderId="44" xfId="5" applyFont="1" applyFill="1" applyBorder="1" applyAlignment="1" applyProtection="1">
      <alignment horizontal="center" vertical="center" wrapText="1"/>
    </xf>
    <xf numFmtId="9" fontId="114" fillId="0" borderId="44" xfId="6" applyFont="1" applyFill="1" applyBorder="1" applyAlignment="1" applyProtection="1">
      <alignment horizontal="left" vertical="center" wrapText="1"/>
    </xf>
    <xf numFmtId="0" fontId="63" fillId="2" borderId="44" xfId="0" quotePrefix="1" applyFont="1" applyFill="1" applyBorder="1" applyAlignment="1" applyProtection="1">
      <alignment horizontal="left" vertical="center" wrapText="1"/>
    </xf>
    <xf numFmtId="0" fontId="63" fillId="0" borderId="44" xfId="0" applyFont="1" applyFill="1" applyBorder="1" applyAlignment="1" applyProtection="1">
      <alignment vertical="center" wrapText="1"/>
    </xf>
    <xf numFmtId="0" fontId="63" fillId="0" borderId="44" xfId="0" applyFont="1" applyFill="1" applyBorder="1" applyAlignment="1" applyProtection="1">
      <alignment horizontal="left" vertical="center" wrapText="1"/>
    </xf>
    <xf numFmtId="0" fontId="63" fillId="0" borderId="44" xfId="0" applyFont="1" applyFill="1" applyBorder="1" applyAlignment="1" applyProtection="1">
      <alignment horizontal="center" vertical="center" wrapText="1"/>
    </xf>
    <xf numFmtId="0" fontId="0" fillId="0" borderId="9" xfId="0" applyFill="1" applyBorder="1" applyAlignment="1">
      <alignment horizontal="center" vertical="center"/>
    </xf>
    <xf numFmtId="0" fontId="66" fillId="0" borderId="9" xfId="0" applyFont="1" applyFill="1" applyBorder="1" applyAlignment="1">
      <alignment horizontal="center" vertical="center"/>
    </xf>
    <xf numFmtId="0" fontId="66" fillId="24" borderId="9" xfId="0" applyFont="1" applyFill="1" applyBorder="1" applyAlignment="1">
      <alignment horizontal="center"/>
    </xf>
    <xf numFmtId="0" fontId="66" fillId="24" borderId="9" xfId="0" applyFont="1" applyFill="1" applyBorder="1" applyAlignment="1">
      <alignment horizontal="center" vertical="top"/>
    </xf>
    <xf numFmtId="0" fontId="119" fillId="0" borderId="9" xfId="0" applyFont="1" applyBorder="1" applyAlignment="1">
      <alignment horizontal="center" vertical="center" wrapText="1"/>
    </xf>
    <xf numFmtId="166" fontId="0" fillId="24" borderId="9" xfId="5" applyNumberFormat="1" applyFont="1" applyFill="1" applyBorder="1" applyAlignment="1">
      <alignment horizontal="center" vertical="center"/>
    </xf>
    <xf numFmtId="0" fontId="0" fillId="24" borderId="9" xfId="0" applyFill="1" applyBorder="1" applyAlignment="1">
      <alignment horizontal="center" vertical="center"/>
    </xf>
    <xf numFmtId="166" fontId="89" fillId="13" borderId="0" xfId="0" applyNumberFormat="1" applyFont="1" applyFill="1"/>
    <xf numFmtId="166" fontId="89" fillId="13" borderId="9" xfId="5" applyNumberFormat="1" applyFont="1" applyFill="1" applyBorder="1" applyAlignment="1">
      <alignment horizontal="center" vertical="center"/>
    </xf>
    <xf numFmtId="0" fontId="0" fillId="22" borderId="0" xfId="0" applyFill="1"/>
    <xf numFmtId="166" fontId="0" fillId="22" borderId="9" xfId="5" applyNumberFormat="1" applyFont="1" applyFill="1" applyBorder="1" applyAlignment="1">
      <alignment horizontal="center" vertical="center"/>
    </xf>
    <xf numFmtId="0" fontId="0" fillId="22" borderId="9" xfId="0" applyFill="1" applyBorder="1" applyAlignment="1">
      <alignment horizontal="center"/>
    </xf>
    <xf numFmtId="9" fontId="109" fillId="28" borderId="9" xfId="6" applyFont="1" applyFill="1" applyBorder="1" applyAlignment="1">
      <alignment horizontal="center" vertical="center"/>
    </xf>
    <xf numFmtId="166" fontId="99" fillId="18" borderId="9" xfId="5" applyNumberFormat="1" applyFont="1" applyFill="1" applyBorder="1" applyAlignment="1">
      <alignment horizontal="right" vertical="center"/>
    </xf>
    <xf numFmtId="166" fontId="92" fillId="28" borderId="9" xfId="5" applyNumberFormat="1" applyFont="1" applyFill="1" applyBorder="1" applyAlignment="1">
      <alignment horizontal="right" vertical="center"/>
    </xf>
    <xf numFmtId="9" fontId="90" fillId="36" borderId="9" xfId="6" applyFont="1" applyFill="1" applyBorder="1" applyAlignment="1">
      <alignment horizontal="center" vertical="center"/>
    </xf>
    <xf numFmtId="166" fontId="90" fillId="18" borderId="0" xfId="5" applyNumberFormat="1" applyFont="1" applyFill="1" applyAlignment="1">
      <alignment horizontal="center" vertical="center"/>
    </xf>
    <xf numFmtId="166" fontId="109" fillId="37" borderId="9" xfId="5" applyNumberFormat="1" applyFont="1" applyFill="1" applyBorder="1" applyAlignment="1">
      <alignment horizontal="center" vertical="center"/>
    </xf>
    <xf numFmtId="9" fontId="109" fillId="37" borderId="9" xfId="6" applyFont="1" applyFill="1" applyBorder="1" applyAlignment="1">
      <alignment horizontal="center" vertical="center"/>
    </xf>
    <xf numFmtId="166" fontId="109" fillId="18" borderId="9" xfId="5" applyNumberFormat="1" applyFont="1" applyFill="1" applyBorder="1" applyAlignment="1">
      <alignment horizontal="center" vertical="center"/>
    </xf>
    <xf numFmtId="0" fontId="24" fillId="0" borderId="1" xfId="0" applyFont="1" applyFill="1" applyBorder="1" applyAlignment="1">
      <alignment vertical="center" wrapText="1"/>
    </xf>
    <xf numFmtId="0" fontId="0" fillId="18" borderId="0" xfId="0" applyFill="1" applyAlignment="1">
      <alignment horizontal="center" vertical="center"/>
    </xf>
    <xf numFmtId="0" fontId="0" fillId="18" borderId="0" xfId="0" applyFill="1" applyAlignment="1">
      <alignment vertical="center"/>
    </xf>
    <xf numFmtId="14" fontId="0" fillId="0" borderId="0" xfId="0" applyNumberFormat="1" applyAlignment="1">
      <alignment horizontal="center" vertical="center"/>
    </xf>
    <xf numFmtId="164" fontId="0" fillId="0" borderId="0" xfId="5" applyFont="1" applyAlignment="1">
      <alignment horizontal="center" vertical="center"/>
    </xf>
    <xf numFmtId="0" fontId="0" fillId="43" borderId="0" xfId="0" applyFill="1"/>
    <xf numFmtId="164" fontId="0" fillId="43" borderId="0" xfId="5" applyFont="1" applyFill="1" applyAlignment="1">
      <alignment horizontal="center" vertical="center"/>
    </xf>
    <xf numFmtId="0" fontId="66" fillId="20" borderId="0" xfId="0" applyFont="1" applyFill="1"/>
    <xf numFmtId="164" fontId="0" fillId="20" borderId="0" xfId="5" applyFont="1" applyFill="1" applyAlignment="1">
      <alignment horizontal="center" vertical="center"/>
    </xf>
    <xf numFmtId="0" fontId="0" fillId="0" borderId="0" xfId="0" applyAlignment="1">
      <alignment horizontal="center" wrapText="1"/>
    </xf>
    <xf numFmtId="0" fontId="0" fillId="0" borderId="0" xfId="0" applyAlignment="1">
      <alignment horizontal="right"/>
    </xf>
    <xf numFmtId="164" fontId="0" fillId="19" borderId="0" xfId="5" applyFont="1" applyFill="1" applyAlignment="1">
      <alignment horizontal="center" vertical="center"/>
    </xf>
    <xf numFmtId="0" fontId="54" fillId="13" borderId="34" xfId="0" applyFont="1" applyFill="1" applyBorder="1" applyAlignment="1">
      <alignment horizontal="center" vertical="center" wrapText="1"/>
    </xf>
    <xf numFmtId="0" fontId="54" fillId="13" borderId="53" xfId="0" applyFont="1" applyFill="1" applyBorder="1" applyAlignment="1">
      <alignment horizontal="center" vertical="center" wrapText="1"/>
    </xf>
    <xf numFmtId="0" fontId="52" fillId="13" borderId="34" xfId="0" applyFont="1" applyFill="1" applyBorder="1" applyAlignment="1">
      <alignment horizontal="center" vertical="center" wrapText="1"/>
    </xf>
    <xf numFmtId="0" fontId="52" fillId="13" borderId="53" xfId="0" applyFont="1" applyFill="1" applyBorder="1" applyAlignment="1">
      <alignment horizontal="center" vertical="center" wrapText="1"/>
    </xf>
    <xf numFmtId="0" fontId="53" fillId="13" borderId="34" xfId="0" applyFont="1" applyFill="1" applyBorder="1" applyAlignment="1">
      <alignment horizontal="center" vertical="center" wrapText="1"/>
    </xf>
    <xf numFmtId="0" fontId="53" fillId="13" borderId="53" xfId="0" applyFont="1" applyFill="1" applyBorder="1" applyAlignment="1">
      <alignment horizontal="center" vertical="center" wrapText="1"/>
    </xf>
    <xf numFmtId="0" fontId="55" fillId="14" borderId="34" xfId="0" applyFont="1" applyFill="1" applyBorder="1" applyAlignment="1">
      <alignment horizontal="center" vertical="center" textRotation="90"/>
    </xf>
    <xf numFmtId="0" fontId="55" fillId="14" borderId="50" xfId="0" applyFont="1" applyFill="1" applyBorder="1" applyAlignment="1">
      <alignment horizontal="center" vertical="center" textRotation="90"/>
    </xf>
    <xf numFmtId="0" fontId="55" fillId="14" borderId="53" xfId="0" applyFont="1" applyFill="1" applyBorder="1" applyAlignment="1">
      <alignment horizontal="center" vertical="center" textRotation="90"/>
    </xf>
    <xf numFmtId="0" fontId="56" fillId="14" borderId="34" xfId="0" applyFont="1" applyFill="1" applyBorder="1" applyAlignment="1">
      <alignment horizontal="center" vertical="center"/>
    </xf>
    <xf numFmtId="0" fontId="56" fillId="14" borderId="50" xfId="0" applyFont="1" applyFill="1" applyBorder="1" applyAlignment="1">
      <alignment horizontal="center" vertical="center"/>
    </xf>
    <xf numFmtId="0" fontId="56" fillId="14" borderId="53" xfId="0" applyFont="1" applyFill="1" applyBorder="1" applyAlignment="1">
      <alignment horizontal="center" vertical="center"/>
    </xf>
    <xf numFmtId="0" fontId="51" fillId="13" borderId="31" xfId="0" applyFont="1" applyFill="1" applyBorder="1" applyAlignment="1">
      <alignment horizontal="center" vertical="center" wrapText="1"/>
    </xf>
    <xf numFmtId="0" fontId="51" fillId="13" borderId="48" xfId="0" applyFont="1" applyFill="1" applyBorder="1" applyAlignment="1">
      <alignment horizontal="center" vertical="center" wrapText="1"/>
    </xf>
    <xf numFmtId="0" fontId="51" fillId="13" borderId="26" xfId="0" applyFont="1" applyFill="1" applyBorder="1" applyAlignment="1">
      <alignment horizontal="center" vertical="center" wrapText="1"/>
    </xf>
    <xf numFmtId="0" fontId="51" fillId="13" borderId="54" xfId="0" applyFont="1" applyFill="1" applyBorder="1" applyAlignment="1">
      <alignment horizontal="center" vertical="center" wrapText="1"/>
    </xf>
    <xf numFmtId="0" fontId="52" fillId="13" borderId="9" xfId="0" applyFont="1" applyFill="1" applyBorder="1" applyAlignment="1">
      <alignment horizontal="center" vertical="center"/>
    </xf>
    <xf numFmtId="0" fontId="53" fillId="13" borderId="9" xfId="0" applyFont="1" applyFill="1" applyBorder="1" applyAlignment="1">
      <alignment horizontal="center" vertical="center" wrapText="1"/>
    </xf>
    <xf numFmtId="0" fontId="52" fillId="13" borderId="31" xfId="0" applyFont="1" applyFill="1" applyBorder="1" applyAlignment="1">
      <alignment horizontal="center" vertical="center" wrapText="1"/>
    </xf>
    <xf numFmtId="0" fontId="52" fillId="13" borderId="48" xfId="0" applyFont="1" applyFill="1" applyBorder="1" applyAlignment="1">
      <alignment horizontal="center" vertical="center" wrapText="1"/>
    </xf>
    <xf numFmtId="0" fontId="56" fillId="14" borderId="9" xfId="0" applyFont="1" applyFill="1" applyBorder="1" applyAlignment="1"/>
    <xf numFmtId="0" fontId="55" fillId="14" borderId="9" xfId="0" applyFont="1" applyFill="1" applyBorder="1" applyAlignment="1">
      <alignment horizontal="center" vertical="center" textRotation="90"/>
    </xf>
    <xf numFmtId="0" fontId="56" fillId="14" borderId="34" xfId="0" applyFont="1" applyFill="1" applyBorder="1" applyAlignment="1">
      <alignment horizontal="left" vertical="center" wrapText="1"/>
    </xf>
    <xf numFmtId="0" fontId="56" fillId="14" borderId="50" xfId="0" applyFont="1" applyFill="1" applyBorder="1" applyAlignment="1">
      <alignment horizontal="left" vertical="center" wrapText="1"/>
    </xf>
    <xf numFmtId="0" fontId="56" fillId="14" borderId="53" xfId="0" applyFont="1" applyFill="1" applyBorder="1" applyAlignment="1">
      <alignment horizontal="left" vertical="center" wrapText="1"/>
    </xf>
    <xf numFmtId="166" fontId="66" fillId="0" borderId="0" xfId="0" applyNumberFormat="1" applyFont="1" applyAlignment="1">
      <alignment horizontal="center"/>
    </xf>
    <xf numFmtId="166" fontId="57" fillId="0" borderId="34" xfId="0" applyNumberFormat="1" applyFont="1" applyFill="1" applyBorder="1" applyAlignment="1">
      <alignment horizontal="center" vertical="center"/>
    </xf>
    <xf numFmtId="166" fontId="57" fillId="0" borderId="50" xfId="0" applyNumberFormat="1" applyFont="1" applyFill="1" applyBorder="1" applyAlignment="1">
      <alignment horizontal="center" vertical="center"/>
    </xf>
    <xf numFmtId="166" fontId="57" fillId="0" borderId="53" xfId="0" applyNumberFormat="1" applyFont="1" applyFill="1" applyBorder="1" applyAlignment="1">
      <alignment horizontal="center" vertical="center"/>
    </xf>
    <xf numFmtId="0" fontId="55" fillId="14" borderId="34" xfId="0" applyFont="1" applyFill="1" applyBorder="1" applyAlignment="1">
      <alignment horizontal="center" vertical="center" textRotation="90" wrapText="1"/>
    </xf>
    <xf numFmtId="0" fontId="55" fillId="14" borderId="50" xfId="0" applyFont="1" applyFill="1" applyBorder="1" applyAlignment="1">
      <alignment horizontal="center" vertical="center" textRotation="90" wrapText="1"/>
    </xf>
    <xf numFmtId="0" fontId="55" fillId="14" borderId="53" xfId="0" applyFont="1" applyFill="1" applyBorder="1" applyAlignment="1">
      <alignment horizontal="center" vertical="center" textRotation="90" wrapText="1"/>
    </xf>
    <xf numFmtId="0" fontId="56" fillId="14" borderId="34" xfId="0" applyFont="1" applyFill="1" applyBorder="1" applyAlignment="1">
      <alignment horizontal="left" vertical="center"/>
    </xf>
    <xf numFmtId="0" fontId="56" fillId="14" borderId="53" xfId="0" applyFont="1" applyFill="1" applyBorder="1" applyAlignment="1">
      <alignment horizontal="left" vertical="center"/>
    </xf>
    <xf numFmtId="166" fontId="57" fillId="14" borderId="34" xfId="5" applyNumberFormat="1" applyFont="1" applyFill="1" applyBorder="1" applyAlignment="1">
      <alignment horizontal="center" vertical="center"/>
    </xf>
    <xf numFmtId="166" fontId="57" fillId="14" borderId="53" xfId="5" applyNumberFormat="1" applyFont="1" applyFill="1" applyBorder="1" applyAlignment="1">
      <alignment horizontal="center" vertical="center"/>
    </xf>
    <xf numFmtId="166" fontId="57" fillId="14" borderId="34" xfId="0" applyNumberFormat="1" applyFont="1" applyFill="1" applyBorder="1" applyAlignment="1">
      <alignment horizontal="center" vertical="center"/>
    </xf>
    <xf numFmtId="166" fontId="57" fillId="14" borderId="53" xfId="0" applyNumberFormat="1" applyFont="1" applyFill="1" applyBorder="1" applyAlignment="1">
      <alignment horizontal="center" vertical="center"/>
    </xf>
    <xf numFmtId="0" fontId="52" fillId="13" borderId="9" xfId="0" applyFont="1" applyFill="1" applyBorder="1" applyAlignment="1">
      <alignment horizontal="center" vertical="top"/>
    </xf>
    <xf numFmtId="166" fontId="57" fillId="14" borderId="50" xfId="5" applyNumberFormat="1" applyFont="1" applyFill="1" applyBorder="1" applyAlignment="1">
      <alignment horizontal="center" vertical="center"/>
    </xf>
    <xf numFmtId="0" fontId="56" fillId="16" borderId="9" xfId="0" applyFont="1" applyFill="1" applyBorder="1" applyAlignment="1"/>
    <xf numFmtId="0" fontId="56" fillId="15" borderId="34" xfId="0" applyFont="1" applyFill="1" applyBorder="1" applyAlignment="1">
      <alignment horizontal="left" vertical="center" wrapText="1"/>
    </xf>
    <xf numFmtId="0" fontId="56" fillId="15" borderId="50" xfId="0" applyFont="1" applyFill="1" applyBorder="1" applyAlignment="1">
      <alignment horizontal="left" vertical="center" wrapText="1"/>
    </xf>
    <xf numFmtId="0" fontId="56" fillId="15" borderId="53" xfId="0" applyFont="1" applyFill="1" applyBorder="1" applyAlignment="1">
      <alignment horizontal="left" vertical="center" wrapText="1"/>
    </xf>
    <xf numFmtId="0" fontId="56" fillId="15" borderId="34" xfId="0" applyFont="1" applyFill="1" applyBorder="1" applyAlignment="1">
      <alignment horizontal="left" vertical="center"/>
    </xf>
    <xf numFmtId="0" fontId="56" fillId="15" borderId="53" xfId="0" applyFont="1" applyFill="1" applyBorder="1" applyAlignment="1">
      <alignment horizontal="left" vertical="center"/>
    </xf>
    <xf numFmtId="0" fontId="130" fillId="27" borderId="58" xfId="0" applyFont="1" applyFill="1" applyBorder="1" applyAlignment="1">
      <alignment horizontal="center" vertical="center" wrapText="1"/>
    </xf>
    <xf numFmtId="0" fontId="130" fillId="27" borderId="10" xfId="0" applyFont="1" applyFill="1" applyBorder="1" applyAlignment="1">
      <alignment horizontal="center" vertical="center" wrapText="1"/>
    </xf>
    <xf numFmtId="0" fontId="130" fillId="27" borderId="8" xfId="0" applyFont="1" applyFill="1" applyBorder="1" applyAlignment="1">
      <alignment horizontal="center" vertical="center" wrapText="1"/>
    </xf>
    <xf numFmtId="0" fontId="130" fillId="27" borderId="63" xfId="0" applyFont="1" applyFill="1" applyBorder="1" applyAlignment="1">
      <alignment horizontal="center" vertical="center" wrapText="1"/>
    </xf>
    <xf numFmtId="0" fontId="130" fillId="27" borderId="35" xfId="0" applyFont="1" applyFill="1" applyBorder="1" applyAlignment="1">
      <alignment horizontal="center" vertical="center" wrapText="1"/>
    </xf>
    <xf numFmtId="0" fontId="130" fillId="27" borderId="65" xfId="0" applyFont="1" applyFill="1" applyBorder="1" applyAlignment="1">
      <alignment horizontal="center" vertical="center" wrapText="1"/>
    </xf>
    <xf numFmtId="0" fontId="131" fillId="38" borderId="58" xfId="0" applyFont="1" applyFill="1" applyBorder="1" applyAlignment="1">
      <alignment horizontal="center" vertical="center" wrapText="1"/>
    </xf>
    <xf numFmtId="0" fontId="131" fillId="38" borderId="10" xfId="0" applyFont="1" applyFill="1" applyBorder="1" applyAlignment="1">
      <alignment horizontal="center" vertical="center" wrapText="1"/>
    </xf>
    <xf numFmtId="0" fontId="51" fillId="13" borderId="16" xfId="0" applyFont="1" applyFill="1" applyBorder="1" applyAlignment="1">
      <alignment horizontal="center" vertical="center" wrapText="1"/>
    </xf>
    <xf numFmtId="0" fontId="51" fillId="13" borderId="68" xfId="0" applyFont="1" applyFill="1" applyBorder="1" applyAlignment="1">
      <alignment horizontal="center" vertical="center" wrapText="1"/>
    </xf>
    <xf numFmtId="0" fontId="51" fillId="13" borderId="21" xfId="0" applyFont="1" applyFill="1" applyBorder="1" applyAlignment="1">
      <alignment horizontal="center" vertical="center" wrapText="1"/>
    </xf>
    <xf numFmtId="0" fontId="51" fillId="13" borderId="71" xfId="0" applyFont="1" applyFill="1" applyBorder="1" applyAlignment="1">
      <alignment horizontal="center" vertical="center" wrapText="1"/>
    </xf>
    <xf numFmtId="0" fontId="52" fillId="13" borderId="8" xfId="0" applyFont="1" applyFill="1" applyBorder="1" applyAlignment="1">
      <alignment horizontal="center" vertical="center"/>
    </xf>
    <xf numFmtId="0" fontId="52" fillId="13" borderId="63" xfId="0" applyFont="1" applyFill="1" applyBorder="1" applyAlignment="1">
      <alignment horizontal="center" vertical="center"/>
    </xf>
    <xf numFmtId="0" fontId="53" fillId="13" borderId="69" xfId="0" applyFont="1" applyFill="1" applyBorder="1" applyAlignment="1">
      <alignment horizontal="center" vertical="center" wrapText="1"/>
    </xf>
    <xf numFmtId="0" fontId="53" fillId="13" borderId="72" xfId="0" applyFont="1" applyFill="1" applyBorder="1" applyAlignment="1">
      <alignment horizontal="center" vertical="center" wrapText="1"/>
    </xf>
    <xf numFmtId="0" fontId="52" fillId="13" borderId="70" xfId="0" applyFont="1" applyFill="1" applyBorder="1" applyAlignment="1">
      <alignment horizontal="center" vertical="center" wrapText="1"/>
    </xf>
    <xf numFmtId="0" fontId="52" fillId="13" borderId="68" xfId="0" applyFont="1" applyFill="1" applyBorder="1" applyAlignment="1">
      <alignment horizontal="center" vertical="center" wrapText="1"/>
    </xf>
    <xf numFmtId="0" fontId="54" fillId="13" borderId="70" xfId="0" applyFont="1" applyFill="1" applyBorder="1" applyAlignment="1">
      <alignment horizontal="center" vertical="center" wrapText="1"/>
    </xf>
    <xf numFmtId="0" fontId="54" fillId="13" borderId="76" xfId="0" applyFont="1" applyFill="1" applyBorder="1" applyAlignment="1">
      <alignment horizontal="center" vertical="center" wrapText="1"/>
    </xf>
    <xf numFmtId="0" fontId="131" fillId="39" borderId="8" xfId="0" applyFont="1" applyFill="1" applyBorder="1" applyAlignment="1">
      <alignment horizontal="center" vertical="center" wrapText="1"/>
    </xf>
    <xf numFmtId="0" fontId="131" fillId="39" borderId="63" xfId="0" applyFont="1" applyFill="1" applyBorder="1" applyAlignment="1">
      <alignment horizontal="center" vertical="center" wrapText="1"/>
    </xf>
    <xf numFmtId="0" fontId="131" fillId="39" borderId="7" xfId="0" applyFont="1" applyFill="1" applyBorder="1" applyAlignment="1">
      <alignment horizontal="center" vertical="center" wrapText="1"/>
    </xf>
    <xf numFmtId="0" fontId="131" fillId="39" borderId="11" xfId="0" applyFont="1" applyFill="1" applyBorder="1" applyAlignment="1">
      <alignment horizontal="center" vertical="center" wrapText="1"/>
    </xf>
    <xf numFmtId="0" fontId="116" fillId="0" borderId="53" xfId="0" applyFont="1" applyFill="1" applyBorder="1" applyAlignment="1">
      <alignment horizontal="center" vertical="center" textRotation="90"/>
    </xf>
    <xf numFmtId="0" fontId="116" fillId="0" borderId="9" xfId="0" applyFont="1" applyFill="1" applyBorder="1" applyAlignment="1">
      <alignment horizontal="center" vertical="center" textRotation="90"/>
    </xf>
    <xf numFmtId="0" fontId="116" fillId="0" borderId="63" xfId="0" applyFont="1" applyFill="1" applyBorder="1" applyAlignment="1">
      <alignment horizontal="center" vertical="center" textRotation="90"/>
    </xf>
    <xf numFmtId="166" fontId="118" fillId="0" borderId="50" xfId="5" applyNumberFormat="1" applyFont="1" applyFill="1" applyBorder="1" applyAlignment="1">
      <alignment horizontal="center" vertical="center"/>
    </xf>
    <xf numFmtId="166" fontId="118" fillId="0" borderId="53" xfId="5" applyNumberFormat="1" applyFont="1" applyFill="1" applyBorder="1" applyAlignment="1">
      <alignment horizontal="center" vertical="center"/>
    </xf>
    <xf numFmtId="166" fontId="116" fillId="0" borderId="26" xfId="5" applyNumberFormat="1" applyFont="1" applyFill="1" applyBorder="1" applyAlignment="1">
      <alignment horizontal="center" vertical="center"/>
    </xf>
    <xf numFmtId="166" fontId="116" fillId="0" borderId="27" xfId="5" applyNumberFormat="1" applyFont="1" applyFill="1" applyBorder="1" applyAlignment="1">
      <alignment horizontal="center" vertical="center"/>
    </xf>
    <xf numFmtId="0" fontId="116" fillId="0" borderId="34" xfId="0" applyFont="1" applyFill="1" applyBorder="1" applyAlignment="1">
      <alignment horizontal="center" vertical="center"/>
    </xf>
    <xf numFmtId="0" fontId="116" fillId="0" borderId="50" xfId="0" applyFont="1" applyFill="1" applyBorder="1" applyAlignment="1">
      <alignment horizontal="center" vertical="center"/>
    </xf>
    <xf numFmtId="0" fontId="116" fillId="0" borderId="53" xfId="0" applyFont="1" applyFill="1" applyBorder="1" applyAlignment="1">
      <alignment horizontal="center" vertical="center"/>
    </xf>
    <xf numFmtId="164" fontId="116" fillId="18" borderId="34" xfId="5" applyFont="1" applyFill="1" applyBorder="1" applyAlignment="1">
      <alignment horizontal="left" vertical="center"/>
    </xf>
    <xf numFmtId="164" fontId="116" fillId="18" borderId="50" xfId="5" applyFont="1" applyFill="1" applyBorder="1" applyAlignment="1">
      <alignment horizontal="left" vertical="center"/>
    </xf>
    <xf numFmtId="164" fontId="116" fillId="18" borderId="53" xfId="5" applyFont="1" applyFill="1" applyBorder="1" applyAlignment="1">
      <alignment horizontal="left" vertical="center"/>
    </xf>
    <xf numFmtId="166" fontId="118" fillId="18" borderId="34" xfId="5" applyNumberFormat="1" applyFont="1" applyFill="1" applyBorder="1" applyAlignment="1">
      <alignment horizontal="center" vertical="center"/>
    </xf>
    <xf numFmtId="166" fontId="118" fillId="18" borderId="50" xfId="5" applyNumberFormat="1" applyFont="1" applyFill="1" applyBorder="1" applyAlignment="1">
      <alignment horizontal="center" vertical="center"/>
    </xf>
    <xf numFmtId="166" fontId="118" fillId="18" borderId="53" xfId="5" applyNumberFormat="1" applyFont="1" applyFill="1" applyBorder="1" applyAlignment="1">
      <alignment horizontal="center" vertical="center"/>
    </xf>
    <xf numFmtId="166" fontId="116" fillId="0" borderId="34" xfId="5" applyNumberFormat="1" applyFont="1" applyFill="1" applyBorder="1" applyAlignment="1">
      <alignment horizontal="center" vertical="center"/>
    </xf>
    <xf numFmtId="166" fontId="116" fillId="0" borderId="50" xfId="5" applyNumberFormat="1" applyFont="1" applyFill="1" applyBorder="1" applyAlignment="1">
      <alignment horizontal="center" vertical="center"/>
    </xf>
    <xf numFmtId="166" fontId="116" fillId="0" borderId="53" xfId="5" applyNumberFormat="1" applyFont="1" applyFill="1" applyBorder="1" applyAlignment="1">
      <alignment horizontal="center" vertical="center"/>
    </xf>
    <xf numFmtId="166" fontId="116" fillId="0" borderId="31" xfId="5" applyNumberFormat="1" applyFont="1" applyFill="1" applyBorder="1" applyAlignment="1">
      <alignment horizontal="center" vertical="center"/>
    </xf>
    <xf numFmtId="166" fontId="116" fillId="0" borderId="60" xfId="5" applyNumberFormat="1" applyFont="1" applyFill="1" applyBorder="1" applyAlignment="1">
      <alignment horizontal="center" vertical="center"/>
    </xf>
    <xf numFmtId="166" fontId="118" fillId="27" borderId="5" xfId="5" applyNumberFormat="1" applyFont="1" applyFill="1" applyBorder="1" applyAlignment="1">
      <alignment horizontal="center" vertical="center"/>
    </xf>
    <xf numFmtId="166" fontId="118" fillId="27" borderId="9" xfId="5" applyNumberFormat="1" applyFont="1" applyFill="1" applyBorder="1" applyAlignment="1">
      <alignment horizontal="center" vertical="center"/>
    </xf>
    <xf numFmtId="166" fontId="118" fillId="27" borderId="27" xfId="5" applyNumberFormat="1" applyFont="1" applyFill="1" applyBorder="1" applyAlignment="1">
      <alignment horizontal="center" vertical="center"/>
    </xf>
    <xf numFmtId="166" fontId="116" fillId="0" borderId="5" xfId="5" applyNumberFormat="1" applyFont="1" applyFill="1" applyBorder="1" applyAlignment="1">
      <alignment horizontal="center" vertical="center"/>
    </xf>
    <xf numFmtId="9" fontId="116" fillId="0" borderId="9" xfId="6" applyFont="1" applyFill="1" applyBorder="1" applyAlignment="1">
      <alignment horizontal="center" vertical="center"/>
    </xf>
    <xf numFmtId="166" fontId="116" fillId="0" borderId="6" xfId="5" applyNumberFormat="1" applyFont="1" applyFill="1" applyBorder="1" applyAlignment="1">
      <alignment horizontal="center" vertical="center"/>
    </xf>
    <xf numFmtId="0" fontId="116" fillId="0" borderId="9" xfId="0" applyFont="1" applyFill="1" applyBorder="1" applyAlignment="1">
      <alignment horizontal="center" vertical="center"/>
    </xf>
    <xf numFmtId="0" fontId="116" fillId="0" borderId="63" xfId="0" applyFont="1" applyFill="1" applyBorder="1" applyAlignment="1">
      <alignment horizontal="center" vertical="center"/>
    </xf>
    <xf numFmtId="0" fontId="116" fillId="0" borderId="34" xfId="0" applyFont="1" applyFill="1" applyBorder="1" applyAlignment="1">
      <alignment horizontal="left" vertical="center" wrapText="1"/>
    </xf>
    <xf numFmtId="0" fontId="116" fillId="0" borderId="72" xfId="0" applyFont="1" applyFill="1" applyBorder="1" applyAlignment="1">
      <alignment horizontal="left" vertical="center" wrapText="1"/>
    </xf>
    <xf numFmtId="166" fontId="116" fillId="0" borderId="9" xfId="5" applyNumberFormat="1" applyFont="1" applyFill="1" applyBorder="1" applyAlignment="1">
      <alignment horizontal="center" vertical="center"/>
    </xf>
    <xf numFmtId="166" fontId="116" fillId="0" borderId="63" xfId="5" applyNumberFormat="1" applyFont="1" applyFill="1" applyBorder="1" applyAlignment="1">
      <alignment horizontal="center" vertical="center"/>
    </xf>
    <xf numFmtId="166" fontId="116" fillId="0" borderId="65" xfId="5" applyNumberFormat="1" applyFont="1" applyFill="1" applyBorder="1" applyAlignment="1">
      <alignment horizontal="center" vertical="center"/>
    </xf>
    <xf numFmtId="0" fontId="116" fillId="0" borderId="56" xfId="0" applyFont="1" applyFill="1" applyBorder="1" applyAlignment="1"/>
    <xf numFmtId="0" fontId="37" fillId="27" borderId="58" xfId="0" applyFont="1" applyFill="1" applyBorder="1" applyAlignment="1">
      <alignment horizontal="center"/>
    </xf>
    <xf numFmtId="0" fontId="37" fillId="27" borderId="5" xfId="0" applyFont="1" applyFill="1" applyBorder="1" applyAlignment="1">
      <alignment horizontal="center"/>
    </xf>
    <xf numFmtId="0" fontId="52" fillId="13" borderId="29" xfId="0" applyFont="1" applyFill="1" applyBorder="1" applyAlignment="1">
      <alignment horizontal="center" vertical="top"/>
    </xf>
    <xf numFmtId="0" fontId="52" fillId="13" borderId="56" xfId="0" applyFont="1" applyFill="1" applyBorder="1" applyAlignment="1">
      <alignment horizontal="center" vertical="top"/>
    </xf>
    <xf numFmtId="0" fontId="116" fillId="0" borderId="8" xfId="0" applyFont="1" applyFill="1" applyBorder="1" applyAlignment="1">
      <alignment horizontal="center" vertical="center" textRotation="90"/>
    </xf>
    <xf numFmtId="0" fontId="116" fillId="0" borderId="69" xfId="0" applyFont="1" applyFill="1" applyBorder="1" applyAlignment="1">
      <alignment horizontal="left" vertical="center"/>
    </xf>
    <xf numFmtId="0" fontId="116" fillId="0" borderId="53" xfId="0" applyFont="1" applyFill="1" applyBorder="1" applyAlignment="1">
      <alignment horizontal="left" vertical="center"/>
    </xf>
    <xf numFmtId="166" fontId="116" fillId="0" borderId="69" xfId="5" applyNumberFormat="1" applyFont="1" applyFill="1" applyBorder="1" applyAlignment="1">
      <alignment horizontal="center" vertical="center"/>
    </xf>
    <xf numFmtId="166" fontId="116" fillId="0" borderId="35" xfId="5" applyNumberFormat="1" applyFont="1" applyFill="1" applyBorder="1" applyAlignment="1">
      <alignment horizontal="center" vertical="center"/>
    </xf>
    <xf numFmtId="0" fontId="116" fillId="0" borderId="9" xfId="0" applyFont="1" applyFill="1" applyBorder="1" applyAlignment="1">
      <alignment horizontal="center" vertical="center" textRotation="90" wrapText="1"/>
    </xf>
    <xf numFmtId="0" fontId="116" fillId="0" borderId="63" xfId="0" applyFont="1" applyFill="1" applyBorder="1" applyAlignment="1">
      <alignment horizontal="center" vertical="center" textRotation="90" wrapText="1"/>
    </xf>
    <xf numFmtId="9" fontId="0" fillId="25" borderId="33" xfId="6" applyFont="1" applyFill="1" applyBorder="1" applyAlignment="1">
      <alignment horizontal="center" vertical="center"/>
    </xf>
    <xf numFmtId="9" fontId="0" fillId="25" borderId="61" xfId="6" applyFont="1" applyFill="1" applyBorder="1" applyAlignment="1">
      <alignment horizontal="center" vertical="center"/>
    </xf>
    <xf numFmtId="9" fontId="0" fillId="25" borderId="37" xfId="6" applyFont="1" applyFill="1" applyBorder="1" applyAlignment="1">
      <alignment horizontal="center" vertical="center"/>
    </xf>
    <xf numFmtId="0" fontId="58" fillId="34" borderId="9" xfId="0" applyFont="1" applyFill="1" applyBorder="1" applyAlignment="1">
      <alignment horizontal="left" vertical="center" wrapText="1"/>
    </xf>
    <xf numFmtId="0" fontId="55" fillId="22" borderId="27" xfId="0" applyFont="1" applyFill="1" applyBorder="1" applyAlignment="1">
      <alignment horizontal="center" wrapText="1"/>
    </xf>
    <xf numFmtId="0" fontId="55" fillId="22" borderId="45" xfId="0" applyFont="1" applyFill="1" applyBorder="1" applyAlignment="1">
      <alignment horizontal="center" wrapText="1"/>
    </xf>
    <xf numFmtId="0" fontId="55" fillId="22" borderId="49" xfId="0" applyFont="1" applyFill="1" applyBorder="1" applyAlignment="1">
      <alignment horizontal="center" wrapText="1"/>
    </xf>
    <xf numFmtId="0" fontId="51" fillId="36" borderId="27" xfId="0" applyFont="1" applyFill="1" applyBorder="1" applyAlignment="1">
      <alignment horizontal="center" vertical="center" wrapText="1"/>
    </xf>
    <xf numFmtId="0" fontId="51" fillId="36" borderId="45" xfId="0" applyFont="1" applyFill="1" applyBorder="1" applyAlignment="1">
      <alignment horizontal="center" vertical="center" wrapText="1"/>
    </xf>
    <xf numFmtId="0" fontId="51" fillId="36" borderId="49" xfId="0" applyFont="1" applyFill="1" applyBorder="1" applyAlignment="1">
      <alignment horizontal="center" vertical="center" wrapText="1"/>
    </xf>
    <xf numFmtId="0" fontId="79" fillId="22" borderId="27" xfId="0" applyFont="1" applyFill="1" applyBorder="1" applyAlignment="1">
      <alignment horizontal="center" vertical="center" wrapText="1"/>
    </xf>
    <xf numFmtId="0" fontId="79" fillId="22" borderId="45" xfId="0" applyFont="1" applyFill="1" applyBorder="1" applyAlignment="1">
      <alignment horizontal="center" vertical="center" wrapText="1"/>
    </xf>
    <xf numFmtId="0" fontId="79" fillId="22" borderId="49" xfId="0" applyFont="1" applyFill="1" applyBorder="1" applyAlignment="1">
      <alignment horizontal="center" vertical="center" wrapText="1"/>
    </xf>
    <xf numFmtId="0" fontId="110" fillId="22" borderId="27" xfId="0" applyFont="1" applyFill="1" applyBorder="1" applyAlignment="1">
      <alignment horizontal="center" vertical="center" wrapText="1"/>
    </xf>
    <xf numFmtId="0" fontId="110" fillId="22" borderId="45" xfId="0" applyFont="1" applyFill="1" applyBorder="1" applyAlignment="1">
      <alignment horizontal="center" vertical="center" wrapText="1"/>
    </xf>
    <xf numFmtId="0" fontId="110" fillId="22" borderId="49" xfId="0" applyFont="1" applyFill="1" applyBorder="1" applyAlignment="1">
      <alignment horizontal="center" vertical="center" wrapText="1"/>
    </xf>
    <xf numFmtId="0" fontId="0" fillId="31" borderId="34" xfId="0" applyFill="1" applyBorder="1" applyAlignment="1">
      <alignment horizontal="center" vertical="center"/>
    </xf>
    <xf numFmtId="0" fontId="0" fillId="31" borderId="50" xfId="0" applyFill="1" applyBorder="1" applyAlignment="1">
      <alignment horizontal="center" vertical="center"/>
    </xf>
    <xf numFmtId="0" fontId="0" fillId="31" borderId="53" xfId="0" applyFill="1" applyBorder="1" applyAlignment="1">
      <alignment horizontal="center" vertical="center"/>
    </xf>
    <xf numFmtId="0" fontId="55" fillId="31" borderId="27" xfId="0" applyFont="1" applyFill="1" applyBorder="1" applyAlignment="1">
      <alignment horizontal="center" wrapText="1"/>
    </xf>
    <xf numFmtId="0" fontId="55" fillId="31" borderId="45" xfId="0" applyFont="1" applyFill="1" applyBorder="1" applyAlignment="1">
      <alignment horizontal="center" wrapText="1"/>
    </xf>
    <xf numFmtId="0" fontId="55" fillId="31" borderId="49" xfId="0" applyFont="1" applyFill="1" applyBorder="1" applyAlignment="1">
      <alignment horizontal="center" wrapText="1"/>
    </xf>
    <xf numFmtId="9" fontId="0" fillId="15" borderId="9" xfId="6" applyFont="1" applyFill="1" applyBorder="1" applyAlignment="1">
      <alignment horizontal="center" vertical="center"/>
    </xf>
    <xf numFmtId="166" fontId="79" fillId="22" borderId="31" xfId="5" applyNumberFormat="1" applyFont="1" applyFill="1" applyBorder="1" applyAlignment="1">
      <alignment horizontal="center" vertical="center"/>
    </xf>
    <xf numFmtId="166" fontId="79" fillId="22" borderId="60" xfId="5" applyNumberFormat="1" applyFont="1" applyFill="1" applyBorder="1" applyAlignment="1">
      <alignment horizontal="center" vertical="center"/>
    </xf>
    <xf numFmtId="166" fontId="79" fillId="22" borderId="26" xfId="5" applyNumberFormat="1" applyFont="1" applyFill="1" applyBorder="1" applyAlignment="1">
      <alignment horizontal="center" vertical="center"/>
    </xf>
    <xf numFmtId="9" fontId="0" fillId="15" borderId="34" xfId="6" applyFont="1" applyFill="1" applyBorder="1" applyAlignment="1">
      <alignment horizontal="center" vertical="center"/>
    </xf>
    <xf numFmtId="9" fontId="0" fillId="15" borderId="53" xfId="6" applyFont="1" applyFill="1" applyBorder="1" applyAlignment="1">
      <alignment horizontal="center" vertical="center"/>
    </xf>
    <xf numFmtId="166" fontId="79" fillId="22" borderId="27" xfId="5" applyNumberFormat="1" applyFont="1" applyFill="1" applyBorder="1" applyAlignment="1">
      <alignment horizontal="center" vertical="center"/>
    </xf>
    <xf numFmtId="166" fontId="0" fillId="22" borderId="34" xfId="0" applyNumberFormat="1" applyFill="1" applyBorder="1" applyAlignment="1">
      <alignment horizontal="center" vertical="center"/>
    </xf>
    <xf numFmtId="166" fontId="0" fillId="22" borderId="50" xfId="0" applyNumberFormat="1" applyFill="1" applyBorder="1" applyAlignment="1">
      <alignment horizontal="center" vertical="center"/>
    </xf>
    <xf numFmtId="9" fontId="0" fillId="25" borderId="34" xfId="6" applyFont="1" applyFill="1" applyBorder="1" applyAlignment="1">
      <alignment horizontal="center" vertical="center"/>
    </xf>
    <xf numFmtId="9" fontId="0" fillId="25" borderId="50" xfId="6" applyFont="1" applyFill="1" applyBorder="1" applyAlignment="1">
      <alignment horizontal="center" vertical="center"/>
    </xf>
    <xf numFmtId="9" fontId="0" fillId="25" borderId="53" xfId="6" applyFont="1" applyFill="1" applyBorder="1" applyAlignment="1">
      <alignment horizontal="center" vertical="center"/>
    </xf>
    <xf numFmtId="166" fontId="0" fillId="22" borderId="53" xfId="0" applyNumberFormat="1" applyFill="1" applyBorder="1" applyAlignment="1">
      <alignment horizontal="center" vertical="center"/>
    </xf>
    <xf numFmtId="0" fontId="101" fillId="37" borderId="27" xfId="0" applyFont="1" applyFill="1" applyBorder="1" applyAlignment="1">
      <alignment horizontal="center" vertical="center"/>
    </xf>
    <xf numFmtId="0" fontId="101" fillId="37" borderId="45" xfId="0" applyFont="1" applyFill="1" applyBorder="1" applyAlignment="1">
      <alignment horizontal="center" vertical="center"/>
    </xf>
    <xf numFmtId="0" fontId="101" fillId="37" borderId="49" xfId="0" applyFont="1" applyFill="1" applyBorder="1" applyAlignment="1">
      <alignment horizontal="center" vertical="center"/>
    </xf>
    <xf numFmtId="9" fontId="0" fillId="15" borderId="50" xfId="6" applyFont="1" applyFill="1" applyBorder="1" applyAlignment="1">
      <alignment horizontal="center" vertical="center"/>
    </xf>
    <xf numFmtId="0" fontId="55" fillId="22" borderId="34" xfId="0" applyFont="1" applyFill="1" applyBorder="1" applyAlignment="1">
      <alignment horizontal="center" vertical="center" wrapText="1"/>
    </xf>
    <xf numFmtId="0" fontId="55" fillId="22" borderId="50" xfId="0" applyFont="1" applyFill="1" applyBorder="1" applyAlignment="1">
      <alignment horizontal="center" vertical="center" wrapText="1"/>
    </xf>
    <xf numFmtId="0" fontId="55" fillId="31" borderId="27" xfId="0" applyFont="1" applyFill="1" applyBorder="1" applyAlignment="1">
      <alignment horizontal="center" vertical="center" wrapText="1"/>
    </xf>
    <xf numFmtId="0" fontId="55" fillId="31" borderId="45" xfId="0" applyFont="1" applyFill="1" applyBorder="1" applyAlignment="1">
      <alignment horizontal="center" vertical="center" wrapText="1"/>
    </xf>
    <xf numFmtId="0" fontId="55" fillId="31" borderId="49" xfId="0" applyFont="1" applyFill="1" applyBorder="1" applyAlignment="1">
      <alignment horizontal="center" vertical="center" wrapText="1"/>
    </xf>
    <xf numFmtId="0" fontId="57" fillId="0" borderId="27" xfId="0" applyFont="1" applyFill="1" applyBorder="1" applyAlignment="1">
      <alignment horizontal="center"/>
    </xf>
    <xf numFmtId="0" fontId="57" fillId="0" borderId="49" xfId="0" applyFont="1" applyFill="1" applyBorder="1" applyAlignment="1">
      <alignment horizontal="center"/>
    </xf>
    <xf numFmtId="9" fontId="90" fillId="15" borderId="9" xfId="6" applyFont="1" applyFill="1" applyBorder="1" applyAlignment="1">
      <alignment horizontal="center" vertical="center"/>
    </xf>
    <xf numFmtId="0" fontId="137" fillId="41" borderId="9" xfId="0" applyFont="1" applyFill="1" applyBorder="1" applyAlignment="1">
      <alignment horizontal="left" vertical="center" wrapText="1"/>
    </xf>
    <xf numFmtId="0" fontId="58" fillId="41" borderId="9" xfId="0" applyFont="1" applyFill="1" applyBorder="1" applyAlignment="1">
      <alignment horizontal="center" vertical="center" wrapText="1"/>
    </xf>
    <xf numFmtId="166" fontId="99" fillId="35" borderId="34" xfId="5" applyNumberFormat="1" applyFont="1" applyFill="1" applyBorder="1" applyAlignment="1">
      <alignment horizontal="center" vertical="center" wrapText="1"/>
    </xf>
    <xf numFmtId="166" fontId="99" fillId="35" borderId="50" xfId="5" applyNumberFormat="1" applyFont="1" applyFill="1" applyBorder="1" applyAlignment="1">
      <alignment horizontal="center" vertical="center" wrapText="1"/>
    </xf>
    <xf numFmtId="166" fontId="99" fillId="35" borderId="53" xfId="5" applyNumberFormat="1" applyFont="1" applyFill="1" applyBorder="1" applyAlignment="1">
      <alignment horizontal="center" vertical="center" wrapText="1"/>
    </xf>
    <xf numFmtId="0" fontId="58" fillId="32" borderId="9" xfId="0" applyFont="1" applyFill="1" applyBorder="1" applyAlignment="1">
      <alignment horizontal="left" vertical="center" wrapText="1"/>
    </xf>
    <xf numFmtId="0" fontId="51" fillId="28" borderId="44" xfId="0" applyFont="1" applyFill="1" applyBorder="1" applyAlignment="1">
      <alignment horizontal="center" vertical="center" wrapText="1"/>
    </xf>
    <xf numFmtId="0" fontId="51" fillId="28" borderId="45" xfId="0" applyFont="1" applyFill="1" applyBorder="1" applyAlignment="1">
      <alignment horizontal="center" vertical="center" wrapText="1"/>
    </xf>
    <xf numFmtId="0" fontId="51" fillId="28" borderId="46" xfId="0" applyFont="1" applyFill="1" applyBorder="1" applyAlignment="1">
      <alignment horizontal="center" vertical="center" wrapText="1"/>
    </xf>
    <xf numFmtId="0" fontId="76" fillId="34" borderId="5" xfId="0" applyFont="1" applyFill="1" applyBorder="1" applyAlignment="1">
      <alignment horizontal="center" vertical="center" wrapText="1"/>
    </xf>
    <xf numFmtId="0" fontId="103" fillId="34" borderId="34" xfId="0" applyFont="1" applyFill="1" applyBorder="1" applyAlignment="1">
      <alignment horizontal="center" vertical="center" wrapText="1"/>
    </xf>
    <xf numFmtId="0" fontId="103" fillId="34" borderId="50" xfId="0" applyFont="1" applyFill="1" applyBorder="1" applyAlignment="1">
      <alignment horizontal="center" vertical="center" wrapText="1"/>
    </xf>
    <xf numFmtId="0" fontId="103" fillId="34" borderId="53" xfId="0" applyFont="1" applyFill="1" applyBorder="1" applyAlignment="1">
      <alignment horizontal="center" vertical="center" wrapText="1"/>
    </xf>
    <xf numFmtId="0" fontId="58" fillId="34" borderId="50" xfId="0" applyFont="1" applyFill="1" applyBorder="1" applyAlignment="1">
      <alignment horizontal="left" vertical="center" wrapText="1"/>
    </xf>
    <xf numFmtId="0" fontId="58" fillId="34" borderId="53" xfId="0" applyFont="1" applyFill="1" applyBorder="1" applyAlignment="1">
      <alignment horizontal="left" vertical="center" wrapText="1"/>
    </xf>
    <xf numFmtId="166" fontId="79" fillId="11" borderId="34" xfId="5" applyNumberFormat="1" applyFont="1" applyFill="1" applyBorder="1" applyAlignment="1">
      <alignment horizontal="center" vertical="center" wrapText="1"/>
    </xf>
    <xf numFmtId="166" fontId="79" fillId="11" borderId="50" xfId="5" applyNumberFormat="1" applyFont="1" applyFill="1" applyBorder="1" applyAlignment="1">
      <alignment horizontal="center" vertical="center" wrapText="1"/>
    </xf>
    <xf numFmtId="166" fontId="79" fillId="11" borderId="53" xfId="5" applyNumberFormat="1" applyFont="1" applyFill="1" applyBorder="1" applyAlignment="1">
      <alignment horizontal="center" vertical="center" wrapText="1"/>
    </xf>
    <xf numFmtId="9" fontId="44" fillId="15" borderId="34" xfId="6" applyFont="1" applyFill="1" applyBorder="1" applyAlignment="1">
      <alignment horizontal="center" vertical="center"/>
    </xf>
    <xf numFmtId="9" fontId="44" fillId="15" borderId="50" xfId="6" applyFont="1" applyFill="1" applyBorder="1" applyAlignment="1">
      <alignment horizontal="center" vertical="center"/>
    </xf>
    <xf numFmtId="9" fontId="44" fillId="15" borderId="53" xfId="6" applyFont="1" applyFill="1" applyBorder="1" applyAlignment="1">
      <alignment horizontal="center" vertical="center"/>
    </xf>
    <xf numFmtId="166" fontId="79" fillId="35" borderId="34" xfId="5" applyNumberFormat="1" applyFont="1" applyFill="1" applyBorder="1" applyAlignment="1">
      <alignment horizontal="center" vertical="center"/>
    </xf>
    <xf numFmtId="166" fontId="79" fillId="35" borderId="50" xfId="5" applyNumberFormat="1" applyFont="1" applyFill="1" applyBorder="1" applyAlignment="1">
      <alignment horizontal="center" vertical="center"/>
    </xf>
    <xf numFmtId="166" fontId="79" fillId="35" borderId="53" xfId="5" applyNumberFormat="1" applyFont="1" applyFill="1" applyBorder="1" applyAlignment="1">
      <alignment horizontal="center" vertical="center"/>
    </xf>
    <xf numFmtId="166" fontId="0" fillId="35" borderId="34" xfId="5" applyNumberFormat="1" applyFont="1" applyFill="1" applyBorder="1" applyAlignment="1">
      <alignment horizontal="center" vertical="center"/>
    </xf>
    <xf numFmtId="166" fontId="0" fillId="35" borderId="50" xfId="5" applyNumberFormat="1" applyFont="1" applyFill="1" applyBorder="1" applyAlignment="1">
      <alignment horizontal="center" vertical="center"/>
    </xf>
    <xf numFmtId="166" fontId="0" fillId="35" borderId="53" xfId="5" applyNumberFormat="1" applyFont="1" applyFill="1" applyBorder="1" applyAlignment="1">
      <alignment horizontal="center" vertical="center"/>
    </xf>
    <xf numFmtId="0" fontId="0" fillId="35" borderId="44" xfId="0" applyFill="1" applyBorder="1" applyAlignment="1">
      <alignment horizontal="center"/>
    </xf>
    <xf numFmtId="0" fontId="0" fillId="35" borderId="45" xfId="0" applyFill="1" applyBorder="1" applyAlignment="1">
      <alignment horizontal="center"/>
    </xf>
    <xf numFmtId="0" fontId="93" fillId="0" borderId="9" xfId="0" applyFont="1" applyFill="1" applyBorder="1" applyAlignment="1">
      <alignment horizontal="center"/>
    </xf>
    <xf numFmtId="0" fontId="92" fillId="24" borderId="9" xfId="0" applyFont="1" applyFill="1" applyBorder="1" applyAlignment="1">
      <alignment horizontal="center" vertical="center" wrapText="1"/>
    </xf>
    <xf numFmtId="0" fontId="75" fillId="24" borderId="9" xfId="0" applyFont="1" applyFill="1" applyBorder="1" applyAlignment="1">
      <alignment horizontal="center" vertical="center" wrapText="1"/>
    </xf>
    <xf numFmtId="0" fontId="76" fillId="26" borderId="5" xfId="0" applyFont="1" applyFill="1" applyBorder="1" applyAlignment="1">
      <alignment horizontal="center" vertical="center" wrapText="1"/>
    </xf>
    <xf numFmtId="0" fontId="77" fillId="26" borderId="34" xfId="0" applyFont="1" applyFill="1" applyBorder="1" applyAlignment="1">
      <alignment horizontal="center" vertical="center" wrapText="1"/>
    </xf>
    <xf numFmtId="0" fontId="77" fillId="26" borderId="50" xfId="0" applyFont="1" applyFill="1" applyBorder="1" applyAlignment="1">
      <alignment horizontal="center" vertical="center" wrapText="1"/>
    </xf>
    <xf numFmtId="0" fontId="77" fillId="26" borderId="53" xfId="0" applyFont="1" applyFill="1" applyBorder="1" applyAlignment="1">
      <alignment horizontal="center" vertical="center" wrapText="1"/>
    </xf>
    <xf numFmtId="0" fontId="58" fillId="26" borderId="9" xfId="0" applyFont="1" applyFill="1" applyBorder="1" applyAlignment="1">
      <alignment horizontal="left" vertical="center" wrapText="1"/>
    </xf>
    <xf numFmtId="167" fontId="91" fillId="23" borderId="29" xfId="5" applyNumberFormat="1" applyFont="1" applyFill="1" applyBorder="1" applyAlignment="1">
      <alignment horizontal="center"/>
    </xf>
    <xf numFmtId="167" fontId="91" fillId="23" borderId="55" xfId="5" applyNumberFormat="1" applyFont="1" applyFill="1" applyBorder="1" applyAlignment="1">
      <alignment horizontal="center"/>
    </xf>
    <xf numFmtId="167" fontId="91" fillId="23" borderId="56" xfId="5" applyNumberFormat="1" applyFont="1" applyFill="1" applyBorder="1" applyAlignment="1">
      <alignment horizontal="center"/>
    </xf>
    <xf numFmtId="167" fontId="91" fillId="23" borderId="15" xfId="5" applyNumberFormat="1" applyFont="1" applyFill="1" applyBorder="1" applyAlignment="1">
      <alignment horizontal="center"/>
    </xf>
    <xf numFmtId="167" fontId="91" fillId="23" borderId="36" xfId="5" applyNumberFormat="1" applyFont="1" applyFill="1" applyBorder="1" applyAlignment="1">
      <alignment horizontal="center"/>
    </xf>
    <xf numFmtId="167" fontId="91" fillId="23" borderId="14" xfId="5" applyNumberFormat="1" applyFont="1" applyFill="1" applyBorder="1" applyAlignment="1">
      <alignment horizontal="center"/>
    </xf>
    <xf numFmtId="167" fontId="91" fillId="23" borderId="28" xfId="5" applyNumberFormat="1" applyFont="1" applyFill="1" applyBorder="1" applyAlignment="1">
      <alignment horizontal="center"/>
    </xf>
    <xf numFmtId="167" fontId="91" fillId="23" borderId="58" xfId="5" applyNumberFormat="1" applyFont="1" applyFill="1" applyBorder="1" applyAlignment="1">
      <alignment horizontal="center"/>
    </xf>
    <xf numFmtId="167" fontId="91" fillId="23" borderId="52" xfId="5" applyNumberFormat="1" applyFont="1" applyFill="1" applyBorder="1" applyAlignment="1">
      <alignment horizontal="center"/>
    </xf>
    <xf numFmtId="167" fontId="91" fillId="23" borderId="8" xfId="5" applyNumberFormat="1" applyFont="1" applyFill="1" applyBorder="1" applyAlignment="1">
      <alignment horizontal="center"/>
    </xf>
    <xf numFmtId="167" fontId="91" fillId="23" borderId="7" xfId="5" applyNumberFormat="1" applyFont="1" applyFill="1" applyBorder="1" applyAlignment="1">
      <alignment horizontal="center"/>
    </xf>
    <xf numFmtId="9" fontId="75" fillId="15" borderId="9" xfId="0" applyNumberFormat="1" applyFont="1" applyFill="1" applyBorder="1" applyAlignment="1">
      <alignment horizontal="center" vertical="center" wrapText="1"/>
    </xf>
    <xf numFmtId="0" fontId="76" fillId="29" borderId="5" xfId="0" applyFont="1" applyFill="1" applyBorder="1" applyAlignment="1">
      <alignment horizontal="center" vertical="center" wrapText="1"/>
    </xf>
    <xf numFmtId="0" fontId="77" fillId="29" borderId="34" xfId="0" applyFont="1" applyFill="1" applyBorder="1" applyAlignment="1">
      <alignment horizontal="center" vertical="center" wrapText="1"/>
    </xf>
    <xf numFmtId="0" fontId="77" fillId="29" borderId="50" xfId="0" applyFont="1" applyFill="1" applyBorder="1" applyAlignment="1">
      <alignment horizontal="center" vertical="center" wrapText="1"/>
    </xf>
    <xf numFmtId="0" fontId="77" fillId="29" borderId="53" xfId="0" applyFont="1" applyFill="1" applyBorder="1" applyAlignment="1">
      <alignment horizontal="center" vertical="center" wrapText="1"/>
    </xf>
    <xf numFmtId="0" fontId="136" fillId="26" borderId="34" xfId="0" applyFont="1" applyFill="1" applyBorder="1" applyAlignment="1">
      <alignment horizontal="center" vertical="center" wrapText="1"/>
    </xf>
    <xf numFmtId="0" fontId="136" fillId="26" borderId="50" xfId="0" applyFont="1" applyFill="1" applyBorder="1" applyAlignment="1">
      <alignment horizontal="center" vertical="center" wrapText="1"/>
    </xf>
    <xf numFmtId="0" fontId="136" fillId="26" borderId="53" xfId="0" applyFont="1" applyFill="1" applyBorder="1" applyAlignment="1">
      <alignment horizontal="center" vertical="center" wrapText="1"/>
    </xf>
    <xf numFmtId="0" fontId="136" fillId="29" borderId="34" xfId="0" applyFont="1" applyFill="1" applyBorder="1" applyAlignment="1">
      <alignment horizontal="center" vertical="center" wrapText="1"/>
    </xf>
    <xf numFmtId="0" fontId="136" fillId="29" borderId="50" xfId="0" applyFont="1" applyFill="1" applyBorder="1" applyAlignment="1">
      <alignment horizontal="center" vertical="center" wrapText="1"/>
    </xf>
    <xf numFmtId="0" fontId="136" fillId="29" borderId="9" xfId="0" applyFont="1" applyFill="1" applyBorder="1" applyAlignment="1">
      <alignment horizontal="center" vertical="center" wrapText="1"/>
    </xf>
    <xf numFmtId="0" fontId="136" fillId="30" borderId="49" xfId="0" applyFont="1" applyFill="1" applyBorder="1" applyAlignment="1">
      <alignment horizontal="center" vertical="center" wrapText="1"/>
    </xf>
    <xf numFmtId="0" fontId="136" fillId="32" borderId="9" xfId="0" applyFont="1" applyFill="1" applyBorder="1" applyAlignment="1">
      <alignment horizontal="center" vertical="center" wrapText="1"/>
    </xf>
    <xf numFmtId="0" fontId="136" fillId="32" borderId="34" xfId="0" applyFont="1" applyFill="1" applyBorder="1" applyAlignment="1">
      <alignment horizontal="center" vertical="center" wrapText="1"/>
    </xf>
    <xf numFmtId="0" fontId="136" fillId="32" borderId="50" xfId="0" applyFont="1" applyFill="1" applyBorder="1" applyAlignment="1">
      <alignment horizontal="center" vertical="center" wrapText="1"/>
    </xf>
    <xf numFmtId="0" fontId="136" fillId="32" borderId="53" xfId="0" applyFont="1" applyFill="1" applyBorder="1" applyAlignment="1">
      <alignment horizontal="center" vertical="center" wrapText="1"/>
    </xf>
    <xf numFmtId="0" fontId="136" fillId="34" borderId="9" xfId="0" applyFont="1" applyFill="1" applyBorder="1" applyAlignment="1">
      <alignment horizontal="center" vertical="center" wrapText="1"/>
    </xf>
    <xf numFmtId="0" fontId="136" fillId="30" borderId="66" xfId="0" applyFont="1" applyFill="1" applyBorder="1" applyAlignment="1">
      <alignment horizontal="center" vertical="center" wrapText="1"/>
    </xf>
    <xf numFmtId="0" fontId="136" fillId="30" borderId="0" xfId="0" applyFont="1" applyFill="1" applyBorder="1" applyAlignment="1">
      <alignment horizontal="center" vertical="center" wrapText="1"/>
    </xf>
    <xf numFmtId="0" fontId="136" fillId="30" borderId="67" xfId="0" applyFont="1" applyFill="1" applyBorder="1" applyAlignment="1">
      <alignment horizontal="center" vertical="center" wrapText="1"/>
    </xf>
    <xf numFmtId="0" fontId="76" fillId="30" borderId="44" xfId="0" applyFont="1" applyFill="1" applyBorder="1" applyAlignment="1">
      <alignment horizontal="center" vertical="center" wrapText="1"/>
    </xf>
    <xf numFmtId="0" fontId="58" fillId="30" borderId="9" xfId="0" applyFont="1" applyFill="1" applyBorder="1" applyAlignment="1">
      <alignment horizontal="left" vertical="center" wrapText="1"/>
    </xf>
    <xf numFmtId="0" fontId="77" fillId="30" borderId="9" xfId="0" applyFont="1" applyFill="1" applyBorder="1" applyAlignment="1">
      <alignment horizontal="center" vertical="center" wrapText="1"/>
    </xf>
    <xf numFmtId="0" fontId="58" fillId="29" borderId="9" xfId="0" applyFont="1" applyFill="1" applyBorder="1" applyAlignment="1">
      <alignment horizontal="left" vertical="center" wrapText="1"/>
    </xf>
    <xf numFmtId="0" fontId="76" fillId="32" borderId="5" xfId="0" applyFont="1" applyFill="1" applyBorder="1" applyAlignment="1">
      <alignment horizontal="center" vertical="center" wrapText="1"/>
    </xf>
    <xf numFmtId="0" fontId="103" fillId="32" borderId="34" xfId="0" applyFont="1" applyFill="1" applyBorder="1" applyAlignment="1">
      <alignment horizontal="center" vertical="center" wrapText="1"/>
    </xf>
    <xf numFmtId="0" fontId="103" fillId="32" borderId="50" xfId="0" applyFont="1" applyFill="1" applyBorder="1" applyAlignment="1">
      <alignment horizontal="center" vertical="center" wrapText="1"/>
    </xf>
    <xf numFmtId="0" fontId="103" fillId="32" borderId="53" xfId="0" applyFont="1" applyFill="1" applyBorder="1" applyAlignment="1">
      <alignment horizontal="center" vertical="center" wrapText="1"/>
    </xf>
    <xf numFmtId="9" fontId="90" fillId="15" borderId="34" xfId="6" applyFont="1" applyFill="1" applyBorder="1" applyAlignment="1">
      <alignment horizontal="center" vertical="center"/>
    </xf>
    <xf numFmtId="9" fontId="90" fillId="15" borderId="50" xfId="6" applyFont="1" applyFill="1" applyBorder="1" applyAlignment="1">
      <alignment horizontal="center" vertical="center"/>
    </xf>
    <xf numFmtId="9" fontId="90" fillId="15" borderId="53" xfId="6" applyFont="1" applyFill="1" applyBorder="1" applyAlignment="1">
      <alignment horizontal="center" vertical="center"/>
    </xf>
    <xf numFmtId="166" fontId="75" fillId="35" borderId="34" xfId="5" applyNumberFormat="1" applyFont="1" applyFill="1" applyBorder="1" applyAlignment="1">
      <alignment horizontal="center" vertical="center" wrapText="1"/>
    </xf>
    <xf numFmtId="166" fontId="75" fillId="35" borderId="50" xfId="5" applyNumberFormat="1" applyFont="1" applyFill="1" applyBorder="1" applyAlignment="1">
      <alignment horizontal="center" vertical="center" wrapText="1"/>
    </xf>
    <xf numFmtId="166" fontId="75" fillId="35" borderId="53" xfId="5" applyNumberFormat="1" applyFont="1" applyFill="1" applyBorder="1" applyAlignment="1">
      <alignment horizontal="center" vertical="center" wrapText="1"/>
    </xf>
    <xf numFmtId="166" fontId="79" fillId="18" borderId="34" xfId="5" applyNumberFormat="1" applyFont="1" applyFill="1" applyBorder="1" applyAlignment="1">
      <alignment horizontal="center" vertical="center" wrapText="1"/>
    </xf>
    <xf numFmtId="166" fontId="79" fillId="18" borderId="50" xfId="5" applyNumberFormat="1" applyFont="1" applyFill="1" applyBorder="1" applyAlignment="1">
      <alignment horizontal="center" vertical="center" wrapText="1"/>
    </xf>
    <xf numFmtId="166" fontId="79" fillId="18" borderId="53" xfId="5" applyNumberFormat="1" applyFont="1" applyFill="1" applyBorder="1" applyAlignment="1">
      <alignment horizontal="center" vertical="center" wrapText="1"/>
    </xf>
    <xf numFmtId="166" fontId="75" fillId="35" borderId="9" xfId="5" applyNumberFormat="1" applyFont="1" applyFill="1" applyBorder="1" applyAlignment="1">
      <alignment horizontal="center" vertical="center" wrapText="1"/>
    </xf>
    <xf numFmtId="9" fontId="0" fillId="35" borderId="33" xfId="6" applyFont="1" applyFill="1" applyBorder="1" applyAlignment="1">
      <alignment horizontal="center" vertical="center"/>
    </xf>
    <xf numFmtId="9" fontId="0" fillId="35" borderId="61" xfId="6" applyFont="1" applyFill="1" applyBorder="1" applyAlignment="1">
      <alignment horizontal="center" vertical="center"/>
    </xf>
    <xf numFmtId="9" fontId="0" fillId="35" borderId="37" xfId="6" applyFont="1" applyFill="1" applyBorder="1" applyAlignment="1">
      <alignment horizontal="center" vertical="center"/>
    </xf>
    <xf numFmtId="9" fontId="0" fillId="25" borderId="9" xfId="6" applyFont="1" applyFill="1" applyBorder="1" applyAlignment="1">
      <alignment horizontal="center" vertical="center"/>
    </xf>
    <xf numFmtId="0" fontId="0" fillId="35" borderId="38" xfId="0" applyFill="1" applyBorder="1" applyAlignment="1">
      <alignment horizontal="center"/>
    </xf>
    <xf numFmtId="0" fontId="0" fillId="35" borderId="39" xfId="0" applyFill="1" applyBorder="1" applyAlignment="1">
      <alignment horizontal="center"/>
    </xf>
    <xf numFmtId="0" fontId="0" fillId="35" borderId="40" xfId="0" applyFill="1" applyBorder="1" applyAlignment="1">
      <alignment horizontal="center"/>
    </xf>
    <xf numFmtId="0" fontId="0" fillId="22" borderId="9" xfId="0" applyFill="1" applyBorder="1" applyAlignment="1">
      <alignment horizontal="center"/>
    </xf>
    <xf numFmtId="0" fontId="89" fillId="13" borderId="9" xfId="0" applyFont="1" applyFill="1" applyBorder="1" applyAlignment="1">
      <alignment horizontal="center"/>
    </xf>
    <xf numFmtId="0" fontId="66" fillId="0" borderId="9" xfId="0" applyFont="1" applyBorder="1" applyAlignment="1">
      <alignment horizontal="center"/>
    </xf>
    <xf numFmtId="0" fontId="37" fillId="0" borderId="9" xfId="0" applyFont="1" applyBorder="1" applyAlignment="1">
      <alignment horizontal="center" vertical="center" wrapText="1"/>
    </xf>
    <xf numFmtId="0" fontId="119" fillId="0" borderId="9" xfId="0" applyFont="1" applyBorder="1" applyAlignment="1">
      <alignment horizontal="center" vertical="center" wrapText="1"/>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2" fillId="3" borderId="0" xfId="0" applyFont="1" applyFill="1" applyBorder="1" applyAlignment="1" applyProtection="1">
      <alignment horizontal="left" vertical="center" wrapText="1"/>
    </xf>
    <xf numFmtId="0" fontId="1" fillId="2" borderId="36" xfId="0" applyFont="1" applyFill="1" applyBorder="1" applyAlignment="1" applyProtection="1">
      <alignment vertical="top" wrapText="1"/>
      <protection locked="0"/>
    </xf>
    <xf numFmtId="0" fontId="1" fillId="2" borderId="14"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76" fillId="21" borderId="9" xfId="0" applyFont="1" applyFill="1" applyBorder="1" applyAlignment="1">
      <alignment horizontal="center" vertical="center" wrapText="1"/>
    </xf>
    <xf numFmtId="0" fontId="2" fillId="2" borderId="36" xfId="0" applyFont="1" applyFill="1" applyBorder="1" applyAlignment="1" applyProtection="1">
      <alignment horizontal="center" vertical="top" wrapText="1"/>
    </xf>
    <xf numFmtId="0" fontId="2" fillId="2" borderId="14" xfId="0" applyFont="1" applyFill="1" applyBorder="1" applyAlignment="1" applyProtection="1">
      <alignment horizontal="center" vertical="top" wrapText="1"/>
    </xf>
    <xf numFmtId="0" fontId="2" fillId="2" borderId="28" xfId="0" applyFont="1" applyFill="1" applyBorder="1" applyAlignment="1" applyProtection="1">
      <alignment horizontal="center" vertical="top" wrapText="1"/>
    </xf>
    <xf numFmtId="0" fontId="11" fillId="3" borderId="0" xfId="0" applyFont="1" applyFill="1" applyBorder="1" applyAlignment="1" applyProtection="1">
      <alignment vertical="top" wrapText="1"/>
    </xf>
    <xf numFmtId="3" fontId="1" fillId="2" borderId="36" xfId="0" applyNumberFormat="1" applyFont="1" applyFill="1" applyBorder="1" applyAlignment="1" applyProtection="1">
      <alignment vertical="top" wrapText="1"/>
      <protection locked="0"/>
    </xf>
    <xf numFmtId="3" fontId="1" fillId="2" borderId="14" xfId="0" applyNumberFormat="1" applyFont="1" applyFill="1" applyBorder="1" applyAlignment="1" applyProtection="1">
      <alignment vertical="top" wrapText="1"/>
      <protection locked="0"/>
    </xf>
    <xf numFmtId="3" fontId="1" fillId="2" borderId="28" xfId="0" applyNumberFormat="1" applyFont="1" applyFill="1" applyBorder="1" applyAlignment="1" applyProtection="1">
      <alignment vertical="top" wrapText="1"/>
      <protection locked="0"/>
    </xf>
    <xf numFmtId="0" fontId="2" fillId="2" borderId="27"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2" borderId="49" xfId="0" applyFont="1" applyFill="1" applyBorder="1" applyAlignment="1" applyProtection="1">
      <alignment horizontal="center" vertical="center" wrapText="1"/>
    </xf>
    <xf numFmtId="0" fontId="136" fillId="0" borderId="34" xfId="0" applyFont="1" applyFill="1" applyBorder="1" applyAlignment="1">
      <alignment horizontal="center" vertical="center" wrapText="1"/>
    </xf>
    <xf numFmtId="0" fontId="136" fillId="0" borderId="50" xfId="0" applyFont="1" applyFill="1" applyBorder="1" applyAlignment="1">
      <alignment horizontal="center" vertical="center" wrapText="1"/>
    </xf>
    <xf numFmtId="0" fontId="136" fillId="0" borderId="53" xfId="0" applyFont="1" applyFill="1" applyBorder="1" applyAlignment="1">
      <alignment horizontal="center" vertical="center" wrapText="1"/>
    </xf>
    <xf numFmtId="0" fontId="136" fillId="0" borderId="9" xfId="0" applyFont="1" applyFill="1" applyBorder="1" applyAlignment="1">
      <alignment horizontal="center" vertical="center" wrapText="1"/>
    </xf>
    <xf numFmtId="0" fontId="76" fillId="0" borderId="9" xfId="0" applyFont="1" applyFill="1" applyBorder="1" applyAlignment="1">
      <alignment horizontal="center" vertical="center" wrapText="1"/>
    </xf>
    <xf numFmtId="0" fontId="135" fillId="0" borderId="9" xfId="0" applyFont="1" applyFill="1" applyBorder="1" applyAlignment="1">
      <alignment horizontal="center" vertical="center" wrapText="1"/>
    </xf>
    <xf numFmtId="0" fontId="58" fillId="0" borderId="9" xfId="0" applyFont="1" applyFill="1" applyBorder="1" applyAlignment="1">
      <alignment horizontal="left" vertical="center" wrapText="1"/>
    </xf>
    <xf numFmtId="0" fontId="139" fillId="0" borderId="9" xfId="0" applyFont="1" applyFill="1" applyBorder="1"/>
    <xf numFmtId="0" fontId="138" fillId="0" borderId="34" xfId="0" applyFont="1" applyFill="1" applyBorder="1" applyAlignment="1">
      <alignment horizontal="center" vertical="center" wrapText="1"/>
    </xf>
    <xf numFmtId="0" fontId="138" fillId="0" borderId="50" xfId="0" applyFont="1" applyFill="1" applyBorder="1" applyAlignment="1">
      <alignment horizontal="center" vertical="center"/>
    </xf>
    <xf numFmtId="0" fontId="138" fillId="0" borderId="53" xfId="0" applyFont="1" applyFill="1" applyBorder="1" applyAlignment="1">
      <alignment horizontal="center" vertical="center"/>
    </xf>
    <xf numFmtId="0" fontId="137" fillId="42" borderId="9" xfId="0" applyFont="1" applyFill="1" applyBorder="1" applyAlignment="1">
      <alignment horizontal="left" vertical="center" wrapText="1"/>
    </xf>
    <xf numFmtId="0" fontId="58" fillId="42" borderId="34" xfId="0" applyFont="1" applyFill="1" applyBorder="1" applyAlignment="1">
      <alignment horizontal="left" vertical="center" wrapText="1"/>
    </xf>
    <xf numFmtId="0" fontId="58" fillId="42" borderId="53" xfId="0" applyFont="1" applyFill="1" applyBorder="1" applyAlignment="1">
      <alignment horizontal="left" vertical="center" wrapText="1"/>
    </xf>
    <xf numFmtId="0" fontId="2" fillId="3" borderId="51" xfId="0" applyFont="1" applyFill="1" applyBorder="1" applyAlignment="1" applyProtection="1">
      <alignment horizontal="left" vertical="center" wrapText="1"/>
    </xf>
    <xf numFmtId="0" fontId="76" fillId="21" borderId="27" xfId="0" applyFont="1" applyFill="1" applyBorder="1" applyAlignment="1">
      <alignment horizontal="center" vertical="center" wrapText="1"/>
    </xf>
    <xf numFmtId="0" fontId="76" fillId="21" borderId="45" xfId="0" applyFont="1" applyFill="1" applyBorder="1" applyAlignment="1">
      <alignment horizontal="center" vertical="center" wrapText="1"/>
    </xf>
    <xf numFmtId="0" fontId="76" fillId="21" borderId="49" xfId="0" applyFont="1" applyFill="1" applyBorder="1" applyAlignment="1">
      <alignment horizontal="center" vertical="center" wrapText="1"/>
    </xf>
    <xf numFmtId="0" fontId="135" fillId="0" borderId="34" xfId="0" applyFont="1" applyFill="1" applyBorder="1" applyAlignment="1">
      <alignment horizontal="center" vertical="center" wrapText="1"/>
    </xf>
    <xf numFmtId="0" fontId="135" fillId="0" borderId="50" xfId="0" applyFont="1" applyFill="1" applyBorder="1" applyAlignment="1">
      <alignment horizontal="center" vertical="center" wrapText="1"/>
    </xf>
    <xf numFmtId="0" fontId="135" fillId="0" borderId="53" xfId="0" applyFont="1" applyFill="1" applyBorder="1" applyAlignment="1">
      <alignment horizontal="center" vertical="center" wrapText="1"/>
    </xf>
    <xf numFmtId="0" fontId="58" fillId="0" borderId="50" xfId="0" applyFont="1" applyFill="1" applyBorder="1" applyAlignment="1">
      <alignment horizontal="left" vertical="center" wrapText="1"/>
    </xf>
    <xf numFmtId="0" fontId="58" fillId="0" borderId="53" xfId="0" applyFont="1" applyFill="1" applyBorder="1" applyAlignment="1">
      <alignment horizontal="left" vertical="center" wrapText="1"/>
    </xf>
    <xf numFmtId="0" fontId="76" fillId="0" borderId="34" xfId="0" applyFont="1" applyFill="1" applyBorder="1" applyAlignment="1">
      <alignment horizontal="center" vertical="center" wrapText="1"/>
    </xf>
    <xf numFmtId="0" fontId="76" fillId="0" borderId="50" xfId="0" applyFont="1" applyFill="1" applyBorder="1" applyAlignment="1">
      <alignment horizontal="center" vertical="center" wrapText="1"/>
    </xf>
    <xf numFmtId="0" fontId="76" fillId="0" borderId="53" xfId="0" applyFont="1" applyFill="1" applyBorder="1" applyAlignment="1">
      <alignment horizontal="center" vertical="center" wrapText="1"/>
    </xf>
    <xf numFmtId="0" fontId="139" fillId="0" borderId="50" xfId="0" applyFont="1" applyFill="1" applyBorder="1"/>
    <xf numFmtId="0" fontId="139" fillId="0" borderId="53" xfId="0" applyFont="1" applyFill="1" applyBorder="1"/>
    <xf numFmtId="0" fontId="58" fillId="0" borderId="34" xfId="0" applyFont="1" applyFill="1" applyBorder="1" applyAlignment="1">
      <alignment horizontal="left" vertical="center" wrapText="1"/>
    </xf>
    <xf numFmtId="0" fontId="46" fillId="2" borderId="19" xfId="0" applyFont="1" applyFill="1" applyBorder="1" applyAlignment="1" applyProtection="1">
      <alignment horizontal="center"/>
    </xf>
    <xf numFmtId="0" fontId="46" fillId="2" borderId="0" xfId="0" applyFont="1" applyFill="1" applyBorder="1" applyAlignment="1" applyProtection="1">
      <alignment horizontal="center"/>
    </xf>
    <xf numFmtId="0" fontId="4" fillId="3" borderId="0" xfId="0" applyFont="1" applyFill="1" applyBorder="1" applyAlignment="1" applyProtection="1">
      <alignment horizontal="left" vertical="center" wrapText="1"/>
    </xf>
    <xf numFmtId="0" fontId="48" fillId="3" borderId="0" xfId="0" applyFont="1" applyFill="1" applyBorder="1" applyAlignment="1" applyProtection="1">
      <alignment horizontal="left" vertical="center" wrapText="1"/>
    </xf>
    <xf numFmtId="3" fontId="27" fillId="0" borderId="36" xfId="0" applyNumberFormat="1" applyFont="1" applyFill="1" applyBorder="1" applyAlignment="1" applyProtection="1">
      <alignment horizontal="center" vertical="center" wrapText="1"/>
      <protection locked="0"/>
    </xf>
    <xf numFmtId="3" fontId="27" fillId="0" borderId="14" xfId="0" applyNumberFormat="1" applyFont="1" applyFill="1" applyBorder="1" applyAlignment="1" applyProtection="1">
      <alignment horizontal="center" vertical="center" wrapText="1"/>
      <protection locked="0"/>
    </xf>
    <xf numFmtId="3" fontId="27" fillId="0" borderId="28" xfId="0" applyNumberFormat="1"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top" wrapText="1"/>
      <protection locked="0"/>
    </xf>
    <xf numFmtId="0" fontId="1" fillId="2" borderId="14"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3" fontId="27" fillId="2" borderId="36" xfId="0" applyNumberFormat="1" applyFont="1" applyFill="1" applyBorder="1" applyAlignment="1" applyProtection="1">
      <alignment horizontal="center" vertical="top" wrapText="1"/>
      <protection locked="0"/>
    </xf>
    <xf numFmtId="3" fontId="27" fillId="2" borderId="14" xfId="0" applyNumberFormat="1" applyFont="1" applyFill="1" applyBorder="1" applyAlignment="1" applyProtection="1">
      <alignment horizontal="center" vertical="top" wrapText="1"/>
      <protection locked="0"/>
    </xf>
    <xf numFmtId="3" fontId="27" fillId="2" borderId="28" xfId="0" applyNumberFormat="1" applyFont="1" applyFill="1" applyBorder="1" applyAlignment="1" applyProtection="1">
      <alignment horizontal="center" vertical="top" wrapText="1"/>
      <protection locked="0"/>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85" fillId="40" borderId="9" xfId="0" applyFont="1" applyFill="1" applyBorder="1" applyAlignment="1" applyProtection="1">
      <alignment horizontal="center" vertical="center" wrapText="1"/>
    </xf>
    <xf numFmtId="0" fontId="85" fillId="2" borderId="34" xfId="0" applyFont="1" applyFill="1" applyBorder="1" applyAlignment="1" applyProtection="1">
      <alignment horizontal="center" vertical="center" wrapText="1"/>
    </xf>
    <xf numFmtId="0" fontId="85" fillId="2" borderId="53" xfId="0" applyFont="1" applyFill="1" applyBorder="1" applyAlignment="1" applyProtection="1">
      <alignment horizontal="center" vertical="center" wrapText="1"/>
    </xf>
    <xf numFmtId="0" fontId="140" fillId="40" borderId="27" xfId="0" applyFont="1" applyFill="1" applyBorder="1" applyAlignment="1">
      <alignment horizontal="center" vertical="center"/>
    </xf>
    <xf numFmtId="0" fontId="140" fillId="40" borderId="49" xfId="0" applyFont="1" applyFill="1" applyBorder="1" applyAlignment="1">
      <alignment horizontal="center" vertical="center"/>
    </xf>
    <xf numFmtId="0" fontId="135" fillId="21" borderId="9" xfId="0" applyFont="1" applyFill="1" applyBorder="1" applyAlignment="1">
      <alignment horizontal="center" vertical="center" wrapText="1"/>
    </xf>
    <xf numFmtId="0" fontId="77" fillId="0" borderId="9" xfId="0" applyFont="1" applyFill="1" applyBorder="1" applyAlignment="1">
      <alignment horizontal="center" vertical="center" wrapText="1"/>
    </xf>
    <xf numFmtId="0" fontId="0" fillId="0" borderId="9" xfId="0" applyFill="1" applyBorder="1"/>
    <xf numFmtId="0" fontId="77" fillId="0" borderId="34" xfId="0" applyFont="1" applyFill="1" applyBorder="1" applyAlignment="1">
      <alignment horizontal="center" vertical="center" wrapText="1"/>
    </xf>
    <xf numFmtId="0" fontId="77" fillId="0" borderId="50" xfId="0" applyFont="1" applyFill="1" applyBorder="1" applyAlignment="1">
      <alignment horizontal="center" vertical="center" wrapText="1"/>
    </xf>
    <xf numFmtId="0" fontId="77" fillId="0" borderId="53" xfId="0" applyFont="1" applyFill="1" applyBorder="1" applyAlignment="1">
      <alignment horizontal="center" vertical="center" wrapText="1"/>
    </xf>
    <xf numFmtId="0" fontId="0" fillId="0" borderId="50" xfId="0" applyFill="1" applyBorder="1"/>
    <xf numFmtId="0" fontId="0" fillId="0" borderId="53" xfId="0" applyFill="1" applyBorder="1"/>
    <xf numFmtId="0" fontId="46" fillId="2" borderId="36" xfId="0" applyFont="1" applyFill="1" applyBorder="1" applyAlignment="1" applyProtection="1">
      <alignment horizontal="center"/>
    </xf>
    <xf numFmtId="0" fontId="46" fillId="2" borderId="14" xfId="0" applyFont="1" applyFill="1" applyBorder="1" applyAlignment="1" applyProtection="1">
      <alignment horizontal="center"/>
    </xf>
    <xf numFmtId="0" fontId="46" fillId="2" borderId="28" xfId="0" applyFont="1" applyFill="1" applyBorder="1" applyAlignment="1" applyProtection="1">
      <alignment horizontal="center"/>
    </xf>
    <xf numFmtId="0" fontId="13" fillId="2" borderId="36" xfId="0" applyFont="1" applyFill="1" applyBorder="1" applyAlignment="1" applyProtection="1">
      <alignment horizontal="center"/>
    </xf>
    <xf numFmtId="0" fontId="13" fillId="2" borderId="14" xfId="0" applyFont="1" applyFill="1" applyBorder="1" applyAlignment="1" applyProtection="1">
      <alignment horizontal="center"/>
    </xf>
    <xf numFmtId="0" fontId="13" fillId="2" borderId="28" xfId="0" applyFont="1" applyFill="1" applyBorder="1" applyAlignment="1" applyProtection="1">
      <alignment horizontal="center"/>
    </xf>
    <xf numFmtId="0" fontId="14" fillId="3" borderId="19"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5"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81" fillId="3" borderId="13" xfId="0" applyFont="1" applyFill="1" applyBorder="1" applyAlignment="1" applyProtection="1">
      <alignment horizontal="center" vertical="center" wrapText="1"/>
    </xf>
    <xf numFmtId="0" fontId="81" fillId="3" borderId="24" xfId="0" applyFont="1" applyFill="1" applyBorder="1" applyAlignment="1" applyProtection="1">
      <alignment horizontal="center" vertical="center" wrapText="1"/>
    </xf>
    <xf numFmtId="0" fontId="81" fillId="3" borderId="25" xfId="0" applyFont="1" applyFill="1" applyBorder="1" applyAlignment="1" applyProtection="1">
      <alignment horizontal="center" vertical="center" wrapText="1"/>
    </xf>
    <xf numFmtId="0" fontId="29" fillId="3" borderId="0" xfId="0" applyFont="1" applyFill="1" applyBorder="1" applyAlignment="1">
      <alignment horizontal="center"/>
    </xf>
    <xf numFmtId="0" fontId="4" fillId="3" borderId="22" xfId="0" applyFont="1" applyFill="1" applyBorder="1" applyAlignment="1" applyProtection="1">
      <alignment horizontal="left" vertical="center" wrapText="1"/>
    </xf>
    <xf numFmtId="0" fontId="64" fillId="0" borderId="24" xfId="0" applyFont="1" applyBorder="1" applyAlignment="1">
      <alignment wrapText="1"/>
    </xf>
    <xf numFmtId="0" fontId="64" fillId="0" borderId="25" xfId="0" applyFont="1" applyBorder="1" applyAlignment="1">
      <alignment wrapText="1"/>
    </xf>
    <xf numFmtId="0" fontId="63" fillId="17" borderId="19" xfId="0" applyFont="1" applyFill="1" applyBorder="1" applyAlignment="1" applyProtection="1">
      <alignment horizontal="center" vertical="center" wrapText="1"/>
    </xf>
    <xf numFmtId="0" fontId="63" fillId="17" borderId="0" xfId="0" applyFont="1" applyFill="1" applyBorder="1" applyAlignment="1" applyProtection="1">
      <alignment horizontal="center" vertical="center" wrapText="1"/>
    </xf>
    <xf numFmtId="0" fontId="63" fillId="17" borderId="20" xfId="0" applyFont="1" applyFill="1" applyBorder="1" applyAlignment="1" applyProtection="1">
      <alignment horizontal="center" vertical="center" wrapText="1"/>
    </xf>
    <xf numFmtId="0" fontId="27" fillId="3" borderId="36"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36"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2" borderId="28" xfId="0" applyFont="1" applyFill="1" applyBorder="1" applyAlignment="1" applyProtection="1">
      <alignment horizontal="center" vertical="top" wrapText="1"/>
    </xf>
    <xf numFmtId="0" fontId="11" fillId="3" borderId="0" xfId="0" applyFont="1" applyFill="1" applyBorder="1" applyAlignment="1" applyProtection="1">
      <alignment horizontal="left" vertical="top" wrapText="1"/>
    </xf>
    <xf numFmtId="0" fontId="14" fillId="0" borderId="41" xfId="0" applyFont="1" applyFill="1" applyBorder="1" applyAlignment="1" applyProtection="1">
      <alignment horizontal="left" vertical="top" wrapText="1"/>
    </xf>
    <xf numFmtId="0" fontId="14" fillId="0" borderId="43" xfId="0" applyFont="1" applyFill="1" applyBorder="1" applyAlignment="1" applyProtection="1">
      <alignment horizontal="left" vertical="top" wrapText="1"/>
    </xf>
    <xf numFmtId="0" fontId="14" fillId="0" borderId="44" xfId="0" applyFont="1" applyFill="1" applyBorder="1" applyAlignment="1" applyProtection="1">
      <alignment horizontal="left" vertical="top" wrapText="1"/>
    </xf>
    <xf numFmtId="0" fontId="14" fillId="0" borderId="46" xfId="0" applyFont="1" applyFill="1" applyBorder="1" applyAlignment="1" applyProtection="1">
      <alignment horizontal="left" vertical="top" wrapText="1"/>
    </xf>
    <xf numFmtId="0" fontId="14" fillId="2" borderId="5" xfId="0" applyFont="1" applyFill="1" applyBorder="1" applyAlignment="1" applyProtection="1">
      <alignment horizontal="center" vertical="top" wrapText="1"/>
    </xf>
    <xf numFmtId="0" fontId="14" fillId="2" borderId="6"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15" fillId="2" borderId="29"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4" fillId="2" borderId="44" xfId="0" applyFont="1" applyFill="1" applyBorder="1" applyAlignment="1" applyProtection="1">
      <alignment horizontal="left" vertical="top" wrapText="1"/>
    </xf>
    <xf numFmtId="0" fontId="14" fillId="2" borderId="46"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27" fillId="3" borderId="0" xfId="0" applyFont="1" applyFill="1" applyAlignment="1">
      <alignment horizontal="left" wrapText="1"/>
    </xf>
    <xf numFmtId="0" fontId="27" fillId="3" borderId="0" xfId="0" applyFont="1" applyFill="1" applyAlignment="1">
      <alignment horizontal="left"/>
    </xf>
    <xf numFmtId="0" fontId="29" fillId="3" borderId="0" xfId="0" applyFont="1" applyFill="1" applyAlignment="1">
      <alignment horizontal="left"/>
    </xf>
    <xf numFmtId="0" fontId="14" fillId="2" borderId="10" xfId="0" applyFont="1" applyFill="1" applyBorder="1" applyAlignment="1" applyProtection="1">
      <alignment horizontal="center" vertical="top" wrapText="1"/>
    </xf>
    <xf numFmtId="0" fontId="14" fillId="2" borderId="11" xfId="0" applyFont="1" applyFill="1" applyBorder="1" applyAlignment="1" applyProtection="1">
      <alignment horizontal="center" vertical="top" wrapText="1"/>
    </xf>
    <xf numFmtId="0" fontId="2" fillId="2" borderId="16"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145" fillId="2" borderId="36" xfId="0" applyFont="1" applyFill="1" applyBorder="1" applyAlignment="1" applyProtection="1">
      <alignment horizontal="center"/>
      <protection locked="0"/>
    </xf>
    <xf numFmtId="0" fontId="145" fillId="2" borderId="14" xfId="0" applyFont="1" applyFill="1" applyBorder="1" applyAlignment="1" applyProtection="1">
      <alignment horizontal="center"/>
      <protection locked="0"/>
    </xf>
    <xf numFmtId="0" fontId="145" fillId="2" borderId="28" xfId="0" applyFont="1" applyFill="1" applyBorder="1" applyAlignment="1" applyProtection="1">
      <alignment horizontal="center"/>
      <protection locked="0"/>
    </xf>
    <xf numFmtId="0" fontId="2" fillId="3" borderId="22" xfId="0" applyFont="1" applyFill="1" applyBorder="1" applyAlignment="1" applyProtection="1">
      <alignment horizontal="center" vertical="center" wrapText="1"/>
    </xf>
    <xf numFmtId="0" fontId="1" fillId="2" borderId="36"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4" fillId="2" borderId="38" xfId="0" applyFont="1" applyFill="1" applyBorder="1" applyAlignment="1" applyProtection="1">
      <alignment horizontal="left" vertical="center" wrapText="1"/>
    </xf>
    <xf numFmtId="0" fontId="14" fillId="2" borderId="39" xfId="0" applyFont="1" applyFill="1" applyBorder="1" applyAlignment="1" applyProtection="1">
      <alignment horizontal="left" vertical="center" wrapText="1"/>
    </xf>
    <xf numFmtId="0" fontId="14" fillId="2" borderId="40" xfId="0" applyFont="1" applyFill="1" applyBorder="1" applyAlignment="1" applyProtection="1">
      <alignment horizontal="left" vertical="center" wrapText="1"/>
    </xf>
    <xf numFmtId="0" fontId="14" fillId="2" borderId="41" xfId="0" applyFont="1" applyFill="1" applyBorder="1" applyAlignment="1" applyProtection="1">
      <alignment horizontal="left" vertical="center" wrapText="1"/>
    </xf>
    <xf numFmtId="0" fontId="14" fillId="2" borderId="42"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 fillId="2" borderId="36"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72" fillId="3" borderId="0" xfId="0" applyFont="1" applyFill="1" applyBorder="1" applyAlignment="1" applyProtection="1">
      <alignment horizontal="left" vertical="center" wrapText="1"/>
    </xf>
    <xf numFmtId="0" fontId="11" fillId="0" borderId="36"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45" fillId="2" borderId="27" xfId="0" applyFont="1" applyFill="1" applyBorder="1" applyAlignment="1" applyProtection="1">
      <alignment horizontal="left" vertical="center" wrapText="1"/>
    </xf>
    <xf numFmtId="0" fontId="45" fillId="2" borderId="45" xfId="0" applyFont="1" applyFill="1" applyBorder="1" applyAlignment="1" applyProtection="1">
      <alignment horizontal="left" vertical="center" wrapText="1"/>
    </xf>
    <xf numFmtId="0" fontId="45" fillId="2" borderId="49" xfId="0" applyFont="1" applyFill="1" applyBorder="1" applyAlignment="1" applyProtection="1">
      <alignment horizontal="left" vertical="center" wrapText="1"/>
    </xf>
    <xf numFmtId="0" fontId="11" fillId="3" borderId="17" xfId="0" applyFont="1" applyFill="1" applyBorder="1" applyAlignment="1" applyProtection="1">
      <alignment horizontal="center" wrapText="1"/>
    </xf>
    <xf numFmtId="0" fontId="2" fillId="3" borderId="0" xfId="0" applyFont="1" applyFill="1" applyBorder="1" applyAlignment="1" applyProtection="1">
      <alignment horizontal="center" vertical="center" wrapText="1"/>
    </xf>
    <xf numFmtId="0" fontId="1" fillId="2" borderId="27"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2" fillId="2" borderId="36"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0" fontId="71" fillId="2" borderId="36" xfId="1" applyFont="1" applyFill="1" applyBorder="1" applyAlignment="1" applyProtection="1">
      <alignment horizontal="center"/>
      <protection locked="0"/>
    </xf>
    <xf numFmtId="0" fontId="4" fillId="3" borderId="0" xfId="0" applyFont="1" applyFill="1" applyBorder="1" applyAlignment="1" applyProtection="1">
      <alignment horizontal="left"/>
    </xf>
    <xf numFmtId="0" fontId="1" fillId="2" borderId="27" xfId="0" applyFont="1" applyFill="1" applyBorder="1" applyAlignment="1" applyProtection="1">
      <alignment horizontal="center" vertical="center" wrapText="1"/>
    </xf>
    <xf numFmtId="0" fontId="1" fillId="2" borderId="49" xfId="0" applyFont="1" applyFill="1" applyBorder="1" applyAlignment="1" applyProtection="1">
      <alignment horizontal="center" vertical="center" wrapText="1"/>
    </xf>
    <xf numFmtId="0" fontId="15" fillId="2" borderId="27"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 fillId="3" borderId="0"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49" xfId="0" applyFont="1" applyFill="1" applyBorder="1" applyAlignment="1" applyProtection="1">
      <alignment horizontal="center" vertical="center" wrapText="1"/>
    </xf>
    <xf numFmtId="0" fontId="45" fillId="0" borderId="27" xfId="0" applyFont="1" applyFill="1" applyBorder="1" applyAlignment="1" applyProtection="1">
      <alignment horizontal="left" vertical="center" wrapText="1"/>
    </xf>
    <xf numFmtId="0" fontId="45" fillId="0" borderId="45" xfId="0" applyFont="1" applyFill="1" applyBorder="1" applyAlignment="1" applyProtection="1">
      <alignment horizontal="left" vertical="center" wrapText="1"/>
    </xf>
    <xf numFmtId="0" fontId="45" fillId="0" borderId="49"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30" fillId="4" borderId="1" xfId="0" applyFont="1" applyFill="1" applyBorder="1" applyAlignment="1">
      <alignment horizontal="center"/>
    </xf>
    <xf numFmtId="0" fontId="22" fillId="0" borderId="36" xfId="0" applyFont="1" applyFill="1" applyBorder="1" applyAlignment="1">
      <alignment horizontal="center"/>
    </xf>
    <xf numFmtId="0" fontId="22" fillId="0" borderId="47" xfId="0" applyFont="1" applyFill="1" applyBorder="1" applyAlignment="1">
      <alignment horizontal="center"/>
    </xf>
    <xf numFmtId="0" fontId="25" fillId="3" borderId="22" xfId="0" applyFont="1" applyFill="1" applyBorder="1"/>
    <xf numFmtId="0" fontId="37" fillId="11" borderId="35" xfId="0" applyFont="1" applyFill="1" applyBorder="1" applyAlignment="1" applyProtection="1">
      <alignment horizontal="center" vertical="center"/>
    </xf>
    <xf numFmtId="0" fontId="37" fillId="11" borderId="43" xfId="0" applyFont="1" applyFill="1" applyBorder="1" applyAlignment="1" applyProtection="1">
      <alignment horizontal="center" vertical="center"/>
    </xf>
    <xf numFmtId="0" fontId="34" fillId="12" borderId="27" xfId="4" applyFill="1" applyBorder="1" applyAlignment="1" applyProtection="1">
      <alignment horizontal="center"/>
      <protection locked="0"/>
    </xf>
    <xf numFmtId="0" fontId="34" fillId="12" borderId="46" xfId="4" applyFill="1" applyBorder="1" applyAlignment="1" applyProtection="1">
      <alignment horizontal="center"/>
      <protection locked="0"/>
    </xf>
    <xf numFmtId="0" fontId="37" fillId="11" borderId="27" xfId="0" applyFont="1" applyFill="1" applyBorder="1" applyAlignment="1" applyProtection="1">
      <alignment horizontal="center" vertical="center" wrapText="1"/>
    </xf>
    <xf numFmtId="0" fontId="37" fillId="11" borderId="49" xfId="0" applyFont="1" applyFill="1" applyBorder="1" applyAlignment="1" applyProtection="1">
      <alignment horizontal="center" vertical="center" wrapText="1"/>
    </xf>
    <xf numFmtId="0" fontId="42" fillId="12" borderId="27" xfId="4" applyFont="1" applyFill="1" applyBorder="1" applyAlignment="1" applyProtection="1">
      <alignment horizontal="center" vertical="center"/>
      <protection locked="0"/>
    </xf>
    <xf numFmtId="0" fontId="42" fillId="12" borderId="49" xfId="4" applyFont="1" applyFill="1" applyBorder="1" applyAlignment="1" applyProtection="1">
      <alignment horizontal="center" vertical="center"/>
      <protection locked="0"/>
    </xf>
    <xf numFmtId="0" fontId="0" fillId="10" borderId="55" xfId="0" applyFill="1" applyBorder="1" applyAlignment="1" applyProtection="1">
      <alignment horizontal="center" vertical="center"/>
    </xf>
    <xf numFmtId="0" fontId="0" fillId="10" borderId="56" xfId="0" applyFill="1" applyBorder="1" applyAlignment="1" applyProtection="1">
      <alignment horizontal="center" vertical="center"/>
    </xf>
    <xf numFmtId="0" fontId="0" fillId="10" borderId="15" xfId="0" applyFill="1" applyBorder="1" applyAlignment="1" applyProtection="1">
      <alignment horizontal="center" vertical="center"/>
    </xf>
    <xf numFmtId="0" fontId="34" fillId="12" borderId="34" xfId="4" applyFill="1" applyBorder="1" applyAlignment="1" applyProtection="1">
      <alignment horizontal="center" vertical="center"/>
      <protection locked="0"/>
    </xf>
    <xf numFmtId="0" fontId="34" fillId="12" borderId="53" xfId="4" applyFill="1" applyBorder="1" applyAlignment="1" applyProtection="1">
      <alignment horizontal="center" vertical="center"/>
      <protection locked="0"/>
    </xf>
    <xf numFmtId="0" fontId="34" fillId="12" borderId="33" xfId="4" applyFill="1" applyBorder="1" applyAlignment="1" applyProtection="1">
      <alignment horizontal="center" vertical="center"/>
      <protection locked="0"/>
    </xf>
    <xf numFmtId="0" fontId="34" fillId="12" borderId="37" xfId="4" applyFill="1" applyBorder="1" applyAlignment="1" applyProtection="1">
      <alignment horizontal="center" vertical="center"/>
      <protection locked="0"/>
    </xf>
    <xf numFmtId="10" fontId="34" fillId="12" borderId="27" xfId="4" applyNumberFormat="1" applyFill="1" applyBorder="1" applyAlignment="1" applyProtection="1">
      <alignment horizontal="center" vertical="center"/>
      <protection locked="0"/>
    </xf>
    <xf numFmtId="10" fontId="34" fillId="12" borderId="49" xfId="4" applyNumberFormat="1" applyFill="1" applyBorder="1" applyAlignment="1" applyProtection="1">
      <alignment horizontal="center" vertical="center"/>
      <protection locked="0"/>
    </xf>
    <xf numFmtId="0" fontId="23" fillId="3" borderId="17" xfId="0" applyFont="1" applyFill="1" applyBorder="1" applyAlignment="1">
      <alignment horizontal="center" vertical="center"/>
    </xf>
    <xf numFmtId="0" fontId="16" fillId="3" borderId="16" xfId="0" applyFont="1" applyFill="1" applyBorder="1" applyAlignment="1">
      <alignment horizontal="center" vertical="top" wrapText="1"/>
    </xf>
    <xf numFmtId="0" fontId="16" fillId="3" borderId="17" xfId="0" applyFont="1" applyFill="1" applyBorder="1" applyAlignment="1">
      <alignment horizontal="center" vertical="top" wrapText="1"/>
    </xf>
    <xf numFmtId="0" fontId="21" fillId="3" borderId="17" xfId="0" applyFont="1" applyFill="1" applyBorder="1" applyAlignment="1">
      <alignment horizontal="center" vertical="top" wrapText="1"/>
    </xf>
    <xf numFmtId="0" fontId="19" fillId="3" borderId="21" xfId="1" applyFill="1" applyBorder="1" applyAlignment="1" applyProtection="1">
      <alignment horizontal="center" vertical="top" wrapText="1"/>
    </xf>
    <xf numFmtId="0" fontId="19" fillId="3" borderId="22" xfId="1" applyFill="1" applyBorder="1" applyAlignment="1" applyProtection="1">
      <alignment horizontal="center" vertical="top" wrapText="1"/>
    </xf>
    <xf numFmtId="0" fontId="31" fillId="2" borderId="27" xfId="0" applyFont="1" applyFill="1" applyBorder="1" applyAlignment="1">
      <alignment horizontal="center" vertical="center"/>
    </xf>
    <xf numFmtId="0" fontId="31" fillId="2" borderId="45" xfId="0" applyFont="1" applyFill="1" applyBorder="1" applyAlignment="1">
      <alignment horizontal="center" vertical="center"/>
    </xf>
    <xf numFmtId="0" fontId="31" fillId="2" borderId="49" xfId="0" applyFont="1" applyFill="1" applyBorder="1" applyAlignment="1">
      <alignment horizontal="center" vertical="center"/>
    </xf>
    <xf numFmtId="0" fontId="0" fillId="0" borderId="34" xfId="0" applyBorder="1" applyAlignment="1" applyProtection="1">
      <alignment horizontal="left" vertical="center" wrapText="1"/>
    </xf>
    <xf numFmtId="0" fontId="0" fillId="0" borderId="53" xfId="0" applyBorder="1" applyAlignment="1" applyProtection="1">
      <alignment horizontal="left" vertical="center" wrapText="1"/>
    </xf>
    <xf numFmtId="0" fontId="42" fillId="8" borderId="27" xfId="4" applyFont="1" applyBorder="1" applyAlignment="1" applyProtection="1">
      <alignment horizontal="center" vertical="center"/>
      <protection locked="0"/>
    </xf>
    <xf numFmtId="0" fontId="42" fillId="8" borderId="49" xfId="4" applyFont="1" applyBorder="1" applyAlignment="1" applyProtection="1">
      <alignment horizontal="center" vertical="center"/>
      <protection locked="0"/>
    </xf>
    <xf numFmtId="0" fontId="37" fillId="11" borderId="42" xfId="0" applyFont="1" applyFill="1" applyBorder="1" applyAlignment="1" applyProtection="1">
      <alignment horizontal="center" vertical="center"/>
    </xf>
    <xf numFmtId="0" fontId="34" fillId="8" borderId="27" xfId="4" applyBorder="1" applyAlignment="1" applyProtection="1">
      <alignment horizontal="left" vertical="center" wrapText="1"/>
      <protection locked="0"/>
    </xf>
    <xf numFmtId="0" fontId="34" fillId="8" borderId="45" xfId="4" applyBorder="1" applyAlignment="1" applyProtection="1">
      <alignment horizontal="left" vertical="center" wrapText="1"/>
      <protection locked="0"/>
    </xf>
    <xf numFmtId="0" fontId="34" fillId="8" borderId="46" xfId="4" applyBorder="1" applyAlignment="1" applyProtection="1">
      <alignment horizontal="left" vertical="center" wrapText="1"/>
      <protection locked="0"/>
    </xf>
    <xf numFmtId="0" fontId="34" fillId="12" borderId="27" xfId="4" applyFill="1" applyBorder="1" applyAlignment="1" applyProtection="1">
      <alignment horizontal="left" vertical="center" wrapText="1"/>
      <protection locked="0"/>
    </xf>
    <xf numFmtId="0" fontId="34" fillId="12" borderId="45" xfId="4" applyFill="1" applyBorder="1" applyAlignment="1" applyProtection="1">
      <alignment horizontal="left" vertical="center" wrapText="1"/>
      <protection locked="0"/>
    </xf>
    <xf numFmtId="0" fontId="34" fillId="12" borderId="46" xfId="4" applyFill="1" applyBorder="1" applyAlignment="1" applyProtection="1">
      <alignment horizontal="left" vertical="center" wrapText="1"/>
      <protection locked="0"/>
    </xf>
    <xf numFmtId="0" fontId="0" fillId="0" borderId="50" xfId="0" applyBorder="1" applyAlignment="1" applyProtection="1">
      <alignment horizontal="left" vertical="center" wrapText="1"/>
    </xf>
    <xf numFmtId="0" fontId="0" fillId="10" borderId="34"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0" borderId="34" xfId="0" applyBorder="1" applyAlignment="1" applyProtection="1">
      <alignment horizontal="center" vertical="center" wrapText="1"/>
    </xf>
    <xf numFmtId="0" fontId="0" fillId="0" borderId="50" xfId="0" applyBorder="1" applyAlignment="1" applyProtection="1">
      <alignment horizontal="center" vertical="center" wrapText="1"/>
    </xf>
    <xf numFmtId="0" fontId="0" fillId="0" borderId="53" xfId="0" applyBorder="1" applyAlignment="1" applyProtection="1">
      <alignment horizontal="center" vertical="center" wrapText="1"/>
    </xf>
    <xf numFmtId="0" fontId="0" fillId="0" borderId="48" xfId="0" applyBorder="1" applyAlignment="1" applyProtection="1">
      <alignment horizontal="left" vertical="center" wrapText="1"/>
    </xf>
    <xf numFmtId="0" fontId="0" fillId="0" borderId="54" xfId="0" applyBorder="1" applyAlignment="1" applyProtection="1">
      <alignment horizontal="left" vertical="center" wrapText="1"/>
    </xf>
    <xf numFmtId="0" fontId="0" fillId="10" borderId="36" xfId="0" applyFill="1" applyBorder="1" applyAlignment="1" applyProtection="1">
      <alignment horizontal="center" vertical="center"/>
    </xf>
    <xf numFmtId="0" fontId="0" fillId="10" borderId="14"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4" xfId="0" applyFill="1" applyBorder="1" applyAlignment="1" applyProtection="1">
      <alignment horizontal="center" vertical="center" wrapText="1"/>
    </xf>
    <xf numFmtId="0" fontId="0" fillId="10" borderId="50" xfId="0" applyFill="1" applyBorder="1" applyAlignment="1" applyProtection="1">
      <alignment horizontal="center" vertical="center" wrapText="1"/>
    </xf>
    <xf numFmtId="0" fontId="0" fillId="10" borderId="53" xfId="0" applyFill="1" applyBorder="1" applyAlignment="1" applyProtection="1">
      <alignment horizontal="center" vertical="center" wrapText="1"/>
    </xf>
    <xf numFmtId="0" fontId="34" fillId="8" borderId="27" xfId="4" applyBorder="1" applyAlignment="1" applyProtection="1">
      <alignment horizontal="center" vertical="center" wrapText="1"/>
      <protection locked="0"/>
    </xf>
    <xf numFmtId="0" fontId="34" fillId="8" borderId="46" xfId="4" applyBorder="1" applyAlignment="1" applyProtection="1">
      <alignment horizontal="center" vertical="center" wrapText="1"/>
      <protection locked="0"/>
    </xf>
    <xf numFmtId="0" fontId="34" fillId="8" borderId="34" xfId="4" applyBorder="1" applyAlignment="1" applyProtection="1">
      <alignment horizontal="center" vertical="center"/>
      <protection locked="0"/>
    </xf>
    <xf numFmtId="0" fontId="34" fillId="8" borderId="53" xfId="4" applyBorder="1" applyAlignment="1" applyProtection="1">
      <alignment horizontal="center" vertical="center"/>
      <protection locked="0"/>
    </xf>
    <xf numFmtId="0" fontId="34" fillId="9" borderId="34" xfId="4" applyFill="1" applyBorder="1" applyAlignment="1" applyProtection="1">
      <alignment horizontal="center" vertical="center"/>
      <protection locked="0"/>
    </xf>
    <xf numFmtId="0" fontId="34" fillId="9" borderId="53" xfId="4" applyFill="1" applyBorder="1" applyAlignment="1" applyProtection="1">
      <alignment horizontal="center" vertical="center"/>
      <protection locked="0"/>
    </xf>
    <xf numFmtId="0" fontId="34" fillId="8" borderId="33" xfId="4" applyBorder="1" applyAlignment="1" applyProtection="1">
      <alignment horizontal="center" vertical="center"/>
      <protection locked="0"/>
    </xf>
    <xf numFmtId="0" fontId="34" fillId="8" borderId="37" xfId="4" applyBorder="1" applyAlignment="1" applyProtection="1">
      <alignment horizontal="center" vertical="center"/>
      <protection locked="0"/>
    </xf>
    <xf numFmtId="0" fontId="0" fillId="0" borderId="9" xfId="0" applyBorder="1" applyAlignment="1" applyProtection="1">
      <alignment horizontal="center" vertical="center" wrapText="1"/>
    </xf>
    <xf numFmtId="0" fontId="0" fillId="10" borderId="32" xfId="0" applyFill="1" applyBorder="1" applyAlignment="1" applyProtection="1">
      <alignment horizontal="center" vertical="center"/>
    </xf>
    <xf numFmtId="0" fontId="0" fillId="10" borderId="29" xfId="0" applyFill="1" applyBorder="1" applyAlignment="1" applyProtection="1">
      <alignment horizontal="center" vertical="center"/>
    </xf>
    <xf numFmtId="0" fontId="37" fillId="11" borderId="52" xfId="0" applyFont="1" applyFill="1" applyBorder="1" applyAlignment="1" applyProtection="1">
      <alignment horizontal="center" vertical="center"/>
    </xf>
    <xf numFmtId="0" fontId="37" fillId="11" borderId="41" xfId="0" applyFont="1" applyFill="1" applyBorder="1" applyAlignment="1" applyProtection="1">
      <alignment horizontal="center" vertical="center"/>
    </xf>
    <xf numFmtId="0" fontId="34" fillId="8" borderId="27" xfId="4" applyBorder="1" applyAlignment="1" applyProtection="1">
      <alignment horizontal="center" vertical="center"/>
      <protection locked="0"/>
    </xf>
    <xf numFmtId="0" fontId="34" fillId="8" borderId="49" xfId="4" applyBorder="1" applyAlignment="1" applyProtection="1">
      <alignment horizontal="center" vertical="center"/>
      <protection locked="0"/>
    </xf>
    <xf numFmtId="0" fontId="34" fillId="12" borderId="27" xfId="4" applyFill="1" applyBorder="1" applyAlignment="1" applyProtection="1">
      <alignment horizontal="center" vertical="center"/>
      <protection locked="0"/>
    </xf>
    <xf numFmtId="0" fontId="34" fillId="12" borderId="49" xfId="4" applyFill="1" applyBorder="1" applyAlignment="1" applyProtection="1">
      <alignment horizontal="center" vertical="center"/>
      <protection locked="0"/>
    </xf>
    <xf numFmtId="0" fontId="34" fillId="8" borderId="49" xfId="4" applyBorder="1" applyAlignment="1" applyProtection="1">
      <alignment horizontal="center" vertical="center" wrapText="1"/>
      <protection locked="0"/>
    </xf>
    <xf numFmtId="0" fontId="0" fillId="0" borderId="9" xfId="0" applyBorder="1" applyAlignment="1" applyProtection="1">
      <alignment horizontal="left" vertical="center" wrapText="1"/>
    </xf>
    <xf numFmtId="0" fontId="34" fillId="12" borderId="27" xfId="4" applyFill="1" applyBorder="1" applyAlignment="1" applyProtection="1">
      <alignment horizontal="center" vertical="center" wrapText="1"/>
      <protection locked="0"/>
    </xf>
    <xf numFmtId="0" fontId="34" fillId="12" borderId="46" xfId="4"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xf>
    <xf numFmtId="0" fontId="0" fillId="10" borderId="50" xfId="0" applyFill="1" applyBorder="1" applyAlignment="1" applyProtection="1">
      <alignment horizontal="left" vertical="center" wrapText="1"/>
    </xf>
    <xf numFmtId="0" fontId="34" fillId="8" borderId="27" xfId="4" applyBorder="1" applyAlignment="1" applyProtection="1">
      <alignment horizontal="center"/>
      <protection locked="0"/>
    </xf>
    <xf numFmtId="0" fontId="34" fillId="8" borderId="46" xfId="4" applyBorder="1" applyAlignment="1" applyProtection="1">
      <alignment horizontal="center"/>
      <protection locked="0"/>
    </xf>
    <xf numFmtId="0" fontId="34" fillId="12" borderId="45" xfId="4" applyFill="1" applyBorder="1" applyAlignment="1" applyProtection="1">
      <alignment horizontal="center" vertical="center"/>
      <protection locked="0"/>
    </xf>
    <xf numFmtId="0" fontId="34" fillId="12" borderId="46" xfId="4" applyFill="1" applyBorder="1" applyAlignment="1" applyProtection="1">
      <alignment horizontal="center" vertical="center"/>
      <protection locked="0"/>
    </xf>
    <xf numFmtId="0" fontId="34" fillId="12" borderId="44" xfId="4" applyFill="1" applyBorder="1" applyAlignment="1" applyProtection="1">
      <alignment horizontal="center" vertical="center" wrapText="1"/>
      <protection locked="0"/>
    </xf>
    <xf numFmtId="0" fontId="34" fillId="12" borderId="49" xfId="4"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4" fillId="8" borderId="45" xfId="4" applyBorder="1" applyAlignment="1" applyProtection="1">
      <alignment horizontal="center" vertical="center"/>
      <protection locked="0"/>
    </xf>
    <xf numFmtId="10" fontId="34" fillId="8" borderId="27" xfId="4" applyNumberFormat="1" applyBorder="1" applyAlignment="1" applyProtection="1">
      <alignment horizontal="center" vertical="center" wrapText="1"/>
      <protection locked="0"/>
    </xf>
    <xf numFmtId="10" fontId="34" fillId="8" borderId="49" xfId="4" applyNumberFormat="1" applyBorder="1" applyAlignment="1" applyProtection="1">
      <alignment horizontal="center" vertical="center" wrapText="1"/>
      <protection locked="0"/>
    </xf>
    <xf numFmtId="0" fontId="34" fillId="8" borderId="45" xfId="4" applyBorder="1" applyAlignment="1" applyProtection="1">
      <alignment horizontal="center" vertical="center" wrapText="1"/>
      <protection locked="0"/>
    </xf>
    <xf numFmtId="0" fontId="37" fillId="11" borderId="35" xfId="0" applyFont="1" applyFill="1" applyBorder="1" applyAlignment="1" applyProtection="1">
      <alignment horizontal="center" vertical="center" wrapText="1"/>
    </xf>
    <xf numFmtId="0" fontId="37" fillId="11" borderId="52" xfId="0" applyFont="1" applyFill="1" applyBorder="1" applyAlignment="1" applyProtection="1">
      <alignment horizontal="center" vertical="center" wrapText="1"/>
    </xf>
    <xf numFmtId="0" fontId="37" fillId="11" borderId="41" xfId="0" applyFont="1" applyFill="1" applyBorder="1" applyAlignment="1" applyProtection="1">
      <alignment horizontal="center" vertical="center" wrapText="1"/>
    </xf>
    <xf numFmtId="0" fontId="0" fillId="0" borderId="26" xfId="0" applyBorder="1" applyAlignment="1" applyProtection="1">
      <alignment horizontal="left" vertical="center" wrapText="1"/>
    </xf>
    <xf numFmtId="0" fontId="34" fillId="12" borderId="34" xfId="4" applyFill="1" applyBorder="1" applyAlignment="1" applyProtection="1">
      <alignment horizontal="center" wrapText="1"/>
      <protection locked="0"/>
    </xf>
    <xf numFmtId="0" fontId="34" fillId="12" borderId="53" xfId="4" applyFill="1" applyBorder="1" applyAlignment="1" applyProtection="1">
      <alignment horizontal="center" wrapText="1"/>
      <protection locked="0"/>
    </xf>
    <xf numFmtId="0" fontId="34" fillId="12" borderId="33" xfId="4" applyFill="1" applyBorder="1" applyAlignment="1" applyProtection="1">
      <alignment horizontal="center" wrapText="1"/>
      <protection locked="0"/>
    </xf>
    <xf numFmtId="0" fontId="34" fillId="12" borderId="37" xfId="4" applyFill="1" applyBorder="1" applyAlignment="1" applyProtection="1">
      <alignment horizontal="center" wrapText="1"/>
      <protection locked="0"/>
    </xf>
    <xf numFmtId="0" fontId="34" fillId="8" borderId="34" xfId="4" applyBorder="1" applyAlignment="1" applyProtection="1">
      <alignment horizontal="center" wrapText="1"/>
      <protection locked="0"/>
    </xf>
    <xf numFmtId="0" fontId="34" fillId="8" borderId="53" xfId="4" applyBorder="1" applyAlignment="1" applyProtection="1">
      <alignment horizontal="center" wrapText="1"/>
      <protection locked="0"/>
    </xf>
    <xf numFmtId="0" fontId="34" fillId="8" borderId="33" xfId="4" applyBorder="1" applyAlignment="1" applyProtection="1">
      <alignment horizontal="center" wrapText="1"/>
      <protection locked="0"/>
    </xf>
    <xf numFmtId="0" fontId="34" fillId="8" borderId="37" xfId="4" applyBorder="1" applyAlignment="1" applyProtection="1">
      <alignment horizontal="center" wrapText="1"/>
      <protection locked="0"/>
    </xf>
    <xf numFmtId="0" fontId="42" fillId="8" borderId="27" xfId="4" applyFont="1" applyBorder="1" applyAlignment="1" applyProtection="1">
      <alignment horizontal="center" vertical="center" wrapText="1"/>
      <protection locked="0"/>
    </xf>
    <xf numFmtId="0" fontId="42" fillId="8" borderId="46" xfId="4" applyFont="1" applyBorder="1" applyAlignment="1" applyProtection="1">
      <alignment horizontal="center" vertical="center" wrapText="1"/>
      <protection locked="0"/>
    </xf>
    <xf numFmtId="0" fontId="42" fillId="12" borderId="27" xfId="4" applyFont="1" applyFill="1" applyBorder="1" applyAlignment="1" applyProtection="1">
      <alignment horizontal="center" vertical="center" wrapText="1"/>
      <protection locked="0"/>
    </xf>
    <xf numFmtId="0" fontId="42" fillId="12" borderId="46" xfId="4" applyFont="1" applyFill="1" applyBorder="1" applyAlignment="1" applyProtection="1">
      <alignment horizontal="center" vertical="center" wrapText="1"/>
      <protection locked="0"/>
    </xf>
    <xf numFmtId="0" fontId="42" fillId="12" borderId="34" xfId="4" applyFont="1" applyFill="1" applyBorder="1" applyAlignment="1" applyProtection="1">
      <alignment horizontal="center" vertical="center"/>
      <protection locked="0"/>
    </xf>
    <xf numFmtId="0" fontId="42" fillId="12" borderId="53" xfId="4" applyFont="1" applyFill="1" applyBorder="1" applyAlignment="1" applyProtection="1">
      <alignment horizontal="center" vertical="center"/>
      <protection locked="0"/>
    </xf>
    <xf numFmtId="0" fontId="42" fillId="8" borderId="34" xfId="4" applyFont="1" applyBorder="1" applyAlignment="1" applyProtection="1">
      <alignment horizontal="center" vertical="center"/>
      <protection locked="0"/>
    </xf>
    <xf numFmtId="0" fontId="42" fillId="8" borderId="53" xfId="4" applyFont="1" applyBorder="1" applyAlignment="1" applyProtection="1">
      <alignment horizontal="center" vertical="center"/>
      <protection locked="0"/>
    </xf>
    <xf numFmtId="0" fontId="35" fillId="0" borderId="0" xfId="0" applyFont="1" applyAlignment="1" applyProtection="1">
      <alignment horizontal="left"/>
    </xf>
    <xf numFmtId="0" fontId="0" fillId="10" borderId="48" xfId="0" applyFill="1" applyBorder="1" applyAlignment="1" applyProtection="1">
      <alignment horizontal="left" vertical="center" wrapText="1"/>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125" fillId="10" borderId="36" xfId="0" applyFont="1" applyFill="1" applyBorder="1" applyAlignment="1" applyProtection="1">
      <alignment horizontal="center" vertical="center"/>
    </xf>
    <xf numFmtId="0" fontId="125" fillId="10" borderId="14" xfId="0" applyFont="1" applyFill="1" applyBorder="1" applyAlignment="1" applyProtection="1">
      <alignment horizontal="center" vertical="center"/>
    </xf>
    <xf numFmtId="0" fontId="125" fillId="10" borderId="28" xfId="0" applyFont="1" applyFill="1" applyBorder="1" applyAlignment="1" applyProtection="1">
      <alignment horizontal="center" vertical="center"/>
    </xf>
    <xf numFmtId="0" fontId="64" fillId="10" borderId="48" xfId="0" applyFont="1" applyFill="1" applyBorder="1" applyAlignment="1" applyProtection="1">
      <alignment horizontal="left" vertical="center" wrapText="1"/>
    </xf>
    <xf numFmtId="0" fontId="64" fillId="10" borderId="51" xfId="0" applyFont="1" applyFill="1" applyBorder="1" applyAlignment="1" applyProtection="1">
      <alignment horizontal="left" vertical="center" wrapText="1"/>
    </xf>
    <xf numFmtId="0" fontId="64" fillId="10" borderId="54" xfId="0" applyFont="1" applyFill="1" applyBorder="1" applyAlignment="1" applyProtection="1">
      <alignment horizontal="left" vertical="center" wrapText="1"/>
    </xf>
    <xf numFmtId="0" fontId="87" fillId="0" borderId="0" xfId="0" applyFont="1" applyAlignment="1" applyProtection="1">
      <alignment horizontal="left" vertical="center" wrapText="1"/>
    </xf>
    <xf numFmtId="0" fontId="0" fillId="16" borderId="34" xfId="0" applyFill="1" applyBorder="1" applyAlignment="1" applyProtection="1">
      <alignment horizontal="left" vertical="center" wrapText="1"/>
    </xf>
    <xf numFmtId="0" fontId="0" fillId="16" borderId="50" xfId="0" applyFill="1" applyBorder="1" applyAlignment="1" applyProtection="1">
      <alignment horizontal="left" vertical="center" wrapText="1"/>
    </xf>
    <xf numFmtId="0" fontId="0" fillId="16" borderId="53" xfId="0" applyFill="1" applyBorder="1" applyAlignment="1" applyProtection="1">
      <alignment horizontal="left" vertical="center" wrapText="1"/>
    </xf>
    <xf numFmtId="0" fontId="34" fillId="12" borderId="34" xfId="4" applyFill="1" applyBorder="1" applyAlignment="1" applyProtection="1">
      <alignment horizontal="center" vertical="center" wrapText="1"/>
      <protection locked="0"/>
    </xf>
    <xf numFmtId="0" fontId="34" fillId="12" borderId="53" xfId="4" applyFill="1" applyBorder="1" applyAlignment="1" applyProtection="1">
      <alignment horizontal="center" vertical="center" wrapText="1"/>
      <protection locked="0"/>
    </xf>
    <xf numFmtId="0" fontId="34" fillId="12" borderId="33" xfId="4" applyFill="1" applyBorder="1" applyAlignment="1" applyProtection="1">
      <alignment horizontal="center" vertical="center" wrapText="1"/>
      <protection locked="0"/>
    </xf>
    <xf numFmtId="0" fontId="34" fillId="12" borderId="37" xfId="4" applyFill="1" applyBorder="1" applyAlignment="1" applyProtection="1">
      <alignment horizontal="center" vertical="center" wrapText="1"/>
      <protection locked="0"/>
    </xf>
    <xf numFmtId="0" fontId="64" fillId="0" borderId="34" xfId="0" applyFont="1" applyBorder="1" applyAlignment="1" applyProtection="1">
      <alignment horizontal="left" vertical="center" wrapText="1"/>
    </xf>
    <xf numFmtId="0" fontId="64" fillId="0" borderId="53" xfId="0" applyFont="1" applyBorder="1" applyAlignment="1" applyProtection="1">
      <alignment horizontal="left" vertical="center" wrapText="1"/>
    </xf>
    <xf numFmtId="0" fontId="64" fillId="10" borderId="34" xfId="0" applyFont="1" applyFill="1" applyBorder="1" applyAlignment="1" applyProtection="1">
      <alignment horizontal="left" vertical="center" wrapText="1"/>
    </xf>
    <xf numFmtId="0" fontId="64" fillId="10" borderId="50" xfId="0" applyFont="1" applyFill="1" applyBorder="1" applyAlignment="1" applyProtection="1">
      <alignment horizontal="left" vertical="center" wrapText="1"/>
    </xf>
    <xf numFmtId="0" fontId="64" fillId="10" borderId="53" xfId="0" applyFont="1" applyFill="1" applyBorder="1" applyAlignment="1" applyProtection="1">
      <alignment horizontal="left" vertical="center" wrapText="1"/>
    </xf>
    <xf numFmtId="0" fontId="34" fillId="8" borderId="34" xfId="4" applyBorder="1" applyAlignment="1" applyProtection="1">
      <alignment horizontal="center" vertical="center" wrapText="1"/>
      <protection locked="0"/>
    </xf>
    <xf numFmtId="0" fontId="34" fillId="8" borderId="53" xfId="4" applyBorder="1" applyAlignment="1" applyProtection="1">
      <alignment horizontal="center" vertical="center" wrapText="1"/>
      <protection locked="0"/>
    </xf>
    <xf numFmtId="0" fontId="129" fillId="8" borderId="31" xfId="4" applyFont="1" applyBorder="1" applyAlignment="1" applyProtection="1">
      <alignment horizontal="center" vertical="center" wrapText="1"/>
      <protection locked="0"/>
    </xf>
    <xf numFmtId="0" fontId="129" fillId="8" borderId="26" xfId="4" applyFont="1" applyBorder="1" applyAlignment="1" applyProtection="1">
      <alignment horizontal="center" vertical="center" wrapText="1"/>
      <protection locked="0"/>
    </xf>
    <xf numFmtId="0" fontId="129" fillId="12" borderId="33" xfId="4" applyFont="1" applyFill="1" applyBorder="1" applyAlignment="1" applyProtection="1">
      <alignment horizontal="center" vertical="center" wrapText="1"/>
      <protection locked="0"/>
    </xf>
    <xf numFmtId="0" fontId="129" fillId="12" borderId="37" xfId="4" applyFont="1" applyFill="1" applyBorder="1" applyAlignment="1" applyProtection="1">
      <alignment horizontal="center" vertical="center" wrapText="1"/>
      <protection locked="0"/>
    </xf>
    <xf numFmtId="0" fontId="42" fillId="8" borderId="45" xfId="4" applyFont="1" applyBorder="1" applyAlignment="1" applyProtection="1">
      <alignment horizontal="center" vertical="center" wrapText="1"/>
      <protection locked="0"/>
    </xf>
    <xf numFmtId="0" fontId="64" fillId="0" borderId="26" xfId="0" applyFont="1" applyBorder="1" applyAlignment="1" applyProtection="1">
      <alignment horizontal="left" vertical="center" wrapText="1"/>
    </xf>
    <xf numFmtId="0" fontId="37" fillId="11" borderId="42" xfId="0" applyFont="1" applyFill="1" applyBorder="1" applyAlignment="1" applyProtection="1">
      <alignment horizontal="center" vertical="center" wrapText="1"/>
    </xf>
    <xf numFmtId="0" fontId="34" fillId="12" borderId="45" xfId="4" applyFill="1" applyBorder="1" applyAlignment="1" applyProtection="1">
      <alignment horizontal="center" vertical="center" wrapText="1"/>
      <protection locked="0"/>
    </xf>
    <xf numFmtId="9" fontId="34" fillId="8" borderId="27" xfId="6" applyFont="1" applyFill="1" applyBorder="1" applyAlignment="1" applyProtection="1">
      <alignment horizontal="center" vertical="center" wrapText="1"/>
      <protection locked="0"/>
    </xf>
    <xf numFmtId="9" fontId="34" fillId="8" borderId="45" xfId="6" applyFont="1" applyFill="1" applyBorder="1" applyAlignment="1" applyProtection="1">
      <alignment horizontal="center" vertical="center" wrapText="1"/>
      <protection locked="0"/>
    </xf>
    <xf numFmtId="9" fontId="34" fillId="12" borderId="44" xfId="4" applyNumberFormat="1" applyFill="1" applyBorder="1" applyAlignment="1" applyProtection="1">
      <alignment horizontal="center" vertical="center" wrapText="1"/>
      <protection locked="0"/>
    </xf>
    <xf numFmtId="0" fontId="129" fillId="8" borderId="27" xfId="4" applyFont="1" applyBorder="1" applyAlignment="1" applyProtection="1">
      <alignment horizontal="center" vertical="center"/>
      <protection locked="0"/>
    </xf>
    <xf numFmtId="0" fontId="129" fillId="8" borderId="45" xfId="4" applyFont="1" applyBorder="1" applyAlignment="1" applyProtection="1">
      <alignment horizontal="center" vertical="center"/>
      <protection locked="0"/>
    </xf>
    <xf numFmtId="0" fontId="129" fillId="8" borderId="27" xfId="4" applyFont="1" applyBorder="1" applyAlignment="1" applyProtection="1">
      <alignment horizontal="center" vertical="center" wrapText="1"/>
      <protection locked="0"/>
    </xf>
    <xf numFmtId="0" fontId="129" fillId="8" borderId="45" xfId="4" applyFont="1" applyBorder="1" applyAlignment="1" applyProtection="1">
      <alignment horizontal="center" vertical="center" wrapText="1"/>
      <protection locked="0"/>
    </xf>
    <xf numFmtId="0" fontId="64" fillId="0" borderId="9" xfId="0" applyFont="1" applyBorder="1" applyAlignment="1" applyProtection="1">
      <alignment horizontal="left" vertical="center" wrapText="1"/>
    </xf>
    <xf numFmtId="0" fontId="0" fillId="16" borderId="9" xfId="0" applyFill="1" applyBorder="1" applyAlignment="1" applyProtection="1">
      <alignment horizontal="center" vertical="center" wrapText="1"/>
    </xf>
    <xf numFmtId="0" fontId="64" fillId="0" borderId="50" xfId="0" applyFont="1" applyBorder="1" applyAlignment="1" applyProtection="1">
      <alignment horizontal="left" vertical="center" wrapText="1"/>
    </xf>
    <xf numFmtId="0" fontId="34" fillId="8" borderId="31" xfId="4" applyBorder="1" applyAlignment="1" applyProtection="1">
      <alignment horizontal="center" vertical="center"/>
      <protection locked="0"/>
    </xf>
    <xf numFmtId="0" fontId="34" fillId="8" borderId="26" xfId="4" applyBorder="1" applyAlignment="1" applyProtection="1">
      <alignment horizontal="center" vertical="center"/>
      <protection locked="0"/>
    </xf>
    <xf numFmtId="0" fontId="34" fillId="12" borderId="62" xfId="4" applyFill="1" applyBorder="1" applyAlignment="1" applyProtection="1">
      <alignment horizontal="center" vertical="center"/>
      <protection locked="0"/>
    </xf>
    <xf numFmtId="0" fontId="34" fillId="12" borderId="59" xfId="4" applyFill="1" applyBorder="1" applyAlignment="1" applyProtection="1">
      <alignment horizontal="center" vertical="center"/>
      <protection locked="0"/>
    </xf>
    <xf numFmtId="0" fontId="34" fillId="12" borderId="48" xfId="4" applyFill="1" applyBorder="1" applyAlignment="1" applyProtection="1">
      <alignment horizontal="center" vertical="center"/>
      <protection locked="0"/>
    </xf>
    <xf numFmtId="0" fontId="34" fillId="12" borderId="54" xfId="4" applyFill="1" applyBorder="1" applyAlignment="1" applyProtection="1">
      <alignment horizontal="center" vertical="center"/>
      <protection locked="0"/>
    </xf>
    <xf numFmtId="0" fontId="66" fillId="16" borderId="34" xfId="0" applyFont="1" applyFill="1" applyBorder="1" applyAlignment="1" applyProtection="1">
      <alignment horizontal="center" vertical="center" wrapText="1"/>
    </xf>
    <xf numFmtId="0" fontId="66" fillId="16" borderId="50" xfId="0" applyFont="1" applyFill="1" applyBorder="1" applyAlignment="1" applyProtection="1">
      <alignment horizontal="center" vertical="center" wrapText="1"/>
    </xf>
    <xf numFmtId="0" fontId="66" fillId="16" borderId="53" xfId="0" applyFont="1" applyFill="1" applyBorder="1" applyAlignment="1" applyProtection="1">
      <alignment horizontal="center" vertical="center" wrapText="1"/>
    </xf>
    <xf numFmtId="0" fontId="64" fillId="10" borderId="31" xfId="0" applyFont="1" applyFill="1" applyBorder="1" applyAlignment="1" applyProtection="1">
      <alignment horizontal="left" vertical="center" wrapText="1"/>
    </xf>
    <xf numFmtId="0" fontId="64" fillId="10" borderId="26" xfId="0" applyFont="1" applyFill="1" applyBorder="1" applyAlignment="1" applyProtection="1">
      <alignment horizontal="left" vertical="center" wrapText="1"/>
    </xf>
    <xf numFmtId="10" fontId="34" fillId="12" borderId="46" xfId="4" applyNumberFormat="1" applyFill="1" applyBorder="1" applyAlignment="1" applyProtection="1">
      <alignment horizontal="center" vertical="center"/>
      <protection locked="0"/>
    </xf>
    <xf numFmtId="0" fontId="64" fillId="10" borderId="31" xfId="0" applyFont="1" applyFill="1" applyBorder="1" applyAlignment="1" applyProtection="1">
      <alignment horizontal="center" vertical="center" wrapText="1"/>
    </xf>
    <xf numFmtId="0" fontId="64" fillId="10" borderId="60" xfId="0" applyFont="1" applyFill="1" applyBorder="1" applyAlignment="1" applyProtection="1">
      <alignment horizontal="center" vertical="center" wrapText="1"/>
    </xf>
    <xf numFmtId="0" fontId="64" fillId="10" borderId="26" xfId="0" applyFont="1" applyFill="1" applyBorder="1" applyAlignment="1" applyProtection="1">
      <alignment horizontal="center" vertical="center" wrapText="1"/>
    </xf>
    <xf numFmtId="0" fontId="42" fillId="8" borderId="65" xfId="4" applyFont="1" applyBorder="1" applyAlignment="1" applyProtection="1">
      <alignment horizontal="center" vertical="center"/>
      <protection locked="0"/>
    </xf>
    <xf numFmtId="0" fontId="42" fillId="8" borderId="64" xfId="4" applyFont="1" applyBorder="1" applyAlignment="1" applyProtection="1">
      <alignment horizontal="center" vertical="center"/>
      <protection locked="0"/>
    </xf>
    <xf numFmtId="0" fontId="42" fillId="12" borderId="65" xfId="4" applyFont="1" applyFill="1" applyBorder="1" applyAlignment="1" applyProtection="1">
      <alignment horizontal="center" vertical="center"/>
      <protection locked="0"/>
    </xf>
    <xf numFmtId="0" fontId="42" fillId="12" borderId="64" xfId="4" applyFont="1" applyFill="1" applyBorder="1" applyAlignment="1" applyProtection="1">
      <alignment horizontal="center" vertical="center"/>
      <protection locked="0"/>
    </xf>
    <xf numFmtId="0" fontId="64" fillId="0" borderId="66" xfId="0" applyFont="1" applyBorder="1" applyAlignment="1" applyProtection="1">
      <alignment horizontal="left" vertical="center" wrapText="1"/>
    </xf>
    <xf numFmtId="0" fontId="64" fillId="0" borderId="67" xfId="0" applyFont="1" applyBorder="1" applyAlignment="1" applyProtection="1">
      <alignment horizontal="left" vertical="center" wrapText="1"/>
    </xf>
    <xf numFmtId="0" fontId="64" fillId="0" borderId="31" xfId="0" applyFont="1" applyBorder="1" applyAlignment="1" applyProtection="1">
      <alignment horizontal="center" vertical="center" wrapText="1"/>
    </xf>
    <xf numFmtId="0" fontId="64" fillId="0" borderId="60" xfId="0" applyFont="1" applyBorder="1" applyAlignment="1" applyProtection="1">
      <alignment horizontal="center" vertical="center" wrapText="1"/>
    </xf>
    <xf numFmtId="0" fontId="64" fillId="0" borderId="26" xfId="0" applyFont="1" applyBorder="1" applyAlignment="1" applyProtection="1">
      <alignment horizontal="center" vertical="center" wrapText="1"/>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colors>
    <mruColors>
      <color rgb="FF01F3FF"/>
      <color rgb="FFB17E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2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2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7056</xdr:colOff>
      <xdr:row>113</xdr:row>
      <xdr:rowOff>56470</xdr:rowOff>
    </xdr:from>
    <xdr:to>
      <xdr:col>13</xdr:col>
      <xdr:colOff>7055</xdr:colOff>
      <xdr:row>113</xdr:row>
      <xdr:rowOff>204612</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10957278" y="26938137"/>
          <a:ext cx="867833" cy="148142"/>
        </a:xfrm>
        <a:prstGeom prst="rect">
          <a:avLst/>
        </a:prstGeom>
        <a:solidFill>
          <a:srgbClr val="01F3FF"/>
        </a:solidFill>
        <a:ln w="63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0</xdr:colOff>
      <xdr:row>112</xdr:row>
      <xdr:rowOff>105840</xdr:rowOff>
    </xdr:from>
    <xdr:to>
      <xdr:col>13</xdr:col>
      <xdr:colOff>-1</xdr:colOff>
      <xdr:row>112</xdr:row>
      <xdr:rowOff>253982</xdr:rowOff>
    </xdr:to>
    <xdr:sp macro="" textlink="">
      <xdr:nvSpPr>
        <xdr:cNvPr id="4" name="Rectangle 3">
          <a:extLst>
            <a:ext uri="{FF2B5EF4-FFF2-40B4-BE49-F238E27FC236}">
              <a16:creationId xmlns:a16="http://schemas.microsoft.com/office/drawing/2014/main" id="{00000000-0008-0000-0600-000004000000}"/>
            </a:ext>
          </a:extLst>
        </xdr:cNvPr>
        <xdr:cNvSpPr/>
      </xdr:nvSpPr>
      <xdr:spPr>
        <a:xfrm>
          <a:off x="10950222" y="26648840"/>
          <a:ext cx="867833" cy="148142"/>
        </a:xfrm>
        <a:prstGeom prst="rect">
          <a:avLst/>
        </a:prstGeom>
        <a:solidFill>
          <a:srgbClr val="01F3FF"/>
        </a:solidFill>
        <a:ln w="63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0</xdr:colOff>
      <xdr:row>114</xdr:row>
      <xdr:rowOff>35318</xdr:rowOff>
    </xdr:from>
    <xdr:to>
      <xdr:col>13</xdr:col>
      <xdr:colOff>-1</xdr:colOff>
      <xdr:row>114</xdr:row>
      <xdr:rowOff>183460</xdr:rowOff>
    </xdr:to>
    <xdr:sp macro="" textlink="">
      <xdr:nvSpPr>
        <xdr:cNvPr id="5" name="Rectangle 4">
          <a:extLst>
            <a:ext uri="{FF2B5EF4-FFF2-40B4-BE49-F238E27FC236}">
              <a16:creationId xmlns:a16="http://schemas.microsoft.com/office/drawing/2014/main" id="{00000000-0008-0000-0600-000005000000}"/>
            </a:ext>
          </a:extLst>
        </xdr:cNvPr>
        <xdr:cNvSpPr/>
      </xdr:nvSpPr>
      <xdr:spPr>
        <a:xfrm>
          <a:off x="10950222" y="27178040"/>
          <a:ext cx="867833" cy="148142"/>
        </a:xfrm>
        <a:prstGeom prst="rect">
          <a:avLst/>
        </a:prstGeom>
        <a:solidFill>
          <a:srgbClr val="01F3FF"/>
        </a:solidFill>
        <a:ln w="63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11</xdr:col>
      <xdr:colOff>11299</xdr:colOff>
      <xdr:row>115</xdr:row>
      <xdr:rowOff>88948</xdr:rowOff>
    </xdr:from>
    <xdr:to>
      <xdr:col>11</xdr:col>
      <xdr:colOff>282223</xdr:colOff>
      <xdr:row>115</xdr:row>
      <xdr:rowOff>204612</xdr:rowOff>
    </xdr:to>
    <xdr:sp macro="" textlink="">
      <xdr:nvSpPr>
        <xdr:cNvPr id="6" name="Rectangle 5">
          <a:extLst>
            <a:ext uri="{FF2B5EF4-FFF2-40B4-BE49-F238E27FC236}">
              <a16:creationId xmlns:a16="http://schemas.microsoft.com/office/drawing/2014/main" id="{00000000-0008-0000-0600-000006000000}"/>
            </a:ext>
          </a:extLst>
        </xdr:cNvPr>
        <xdr:cNvSpPr/>
      </xdr:nvSpPr>
      <xdr:spPr>
        <a:xfrm>
          <a:off x="11250799" y="27450392"/>
          <a:ext cx="270924" cy="115664"/>
        </a:xfrm>
        <a:prstGeom prst="rect">
          <a:avLst/>
        </a:prstGeom>
        <a:solidFill>
          <a:srgbClr val="01F3FF"/>
        </a:solidFill>
        <a:ln w="63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12</xdr:col>
      <xdr:colOff>283642</xdr:colOff>
      <xdr:row>123</xdr:row>
      <xdr:rowOff>22625</xdr:rowOff>
    </xdr:from>
    <xdr:to>
      <xdr:col>13</xdr:col>
      <xdr:colOff>265288</xdr:colOff>
      <xdr:row>123</xdr:row>
      <xdr:rowOff>138289</xdr:rowOff>
    </xdr:to>
    <xdr:sp macro="" textlink="">
      <xdr:nvSpPr>
        <xdr:cNvPr id="7" name="Rectangle 6">
          <a:extLst>
            <a:ext uri="{FF2B5EF4-FFF2-40B4-BE49-F238E27FC236}">
              <a16:creationId xmlns:a16="http://schemas.microsoft.com/office/drawing/2014/main" id="{00000000-0008-0000-0600-000007000000}"/>
            </a:ext>
          </a:extLst>
        </xdr:cNvPr>
        <xdr:cNvSpPr/>
      </xdr:nvSpPr>
      <xdr:spPr>
        <a:xfrm>
          <a:off x="11812420" y="29140903"/>
          <a:ext cx="270924" cy="115664"/>
        </a:xfrm>
        <a:prstGeom prst="rect">
          <a:avLst/>
        </a:prstGeom>
        <a:solidFill>
          <a:srgbClr val="01F3FF"/>
        </a:solidFill>
        <a:ln w="63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lloun\Downloads\28_01_19_ADA-Morocco_PP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ndaloussi\AppData\Local\Microsoft\Windows\Temporary%20Internet%20Files\Content.Outlook\L3YTFJ01\PPR-Resultstracker-4Feb15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ed\Downloads\PPR-Resultstracker-4Feb15_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ed\Downloads\PPR_PACCZO-2016%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andaloussi\Downloads\Suivi_PACCZ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MSD\Bureau_agadir\PACCZO\PTBA_et_PPR\PPR_2017\Suivi_PACCZO_T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MSD\Bureau_agadir\PACCZO\PTBA_et_PPR\PPR_2017\Suivi_PACCZO_T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quats-au-31-déc"/>
      <sheetName val="Reliquats-au-31-déc USD"/>
      <sheetName val="Procurments$USD"/>
      <sheetName val="Crédits_Engagements_2017"/>
      <sheetName val="PTBA-ANDZOA"/>
      <sheetName val="Overview"/>
      <sheetName val="FinancialData-to-Dec-31-2017"/>
      <sheetName val="FinancialData-to-Jun-30-2018"/>
      <sheetName val="Procurement"/>
      <sheetName val="Risk Assesment"/>
      <sheetName val="Rating"/>
      <sheetName val="Lessons Learned"/>
      <sheetName val="Results Tracker-exemple"/>
      <sheetName val="Project Indicators"/>
      <sheetName val="Results Tracker"/>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46">
          <cell r="G146" t="str">
            <v>Community</v>
          </cell>
        </row>
        <row r="147">
          <cell r="G147" t="str">
            <v>Multi-community</v>
          </cell>
        </row>
        <row r="148">
          <cell r="G148" t="str">
            <v>Departmental</v>
          </cell>
        </row>
        <row r="149">
          <cell r="G149" t="str">
            <v>National</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d data"/>
      <sheetName val="PPR results tracker"/>
    </sheetNames>
    <sheetDataSet>
      <sheetData sheetId="0" refreshError="1"/>
      <sheetData sheetId="1">
        <row r="126">
          <cell r="D126" t="str">
            <v>Glacier lake outburst flood</v>
          </cell>
        </row>
        <row r="127">
          <cell r="D127" t="str">
            <v>Inland flooding</v>
          </cell>
          <cell r="F127" t="str">
            <v>biological assets</v>
          </cell>
          <cell r="I127" t="str">
            <v>5: Fully enforced (All elements implemented)</v>
          </cell>
        </row>
        <row r="128">
          <cell r="D128" t="str">
            <v>Salinization</v>
          </cell>
          <cell r="F128" t="str">
            <v>land</v>
          </cell>
          <cell r="I128" t="str">
            <v>4: Enforced (Most elements implemented)</v>
          </cell>
        </row>
        <row r="129">
          <cell r="D129" t="str">
            <v>Drought</v>
          </cell>
          <cell r="F129" t="str">
            <v>water areas</v>
          </cell>
          <cell r="I129" t="str">
            <v>3: Partially enforced (Some elements implemented)</v>
          </cell>
        </row>
        <row r="130">
          <cell r="D130" t="str">
            <v>Wind</v>
          </cell>
          <cell r="F130" t="str">
            <v>subsoil assets</v>
          </cell>
          <cell r="G130" t="str">
            <v>increased adpative capacity</v>
          </cell>
          <cell r="I130" t="str">
            <v>2: Partially not enforced (Most elements not implemented)</v>
          </cell>
        </row>
        <row r="131">
          <cell r="D131" t="str">
            <v>Coastal flooding</v>
          </cell>
          <cell r="F131" t="str">
            <v>air</v>
          </cell>
          <cell r="G131" t="str">
            <v>achieved</v>
          </cell>
          <cell r="I131" t="str">
            <v>1: Not enforced (No elements implemented)</v>
          </cell>
        </row>
        <row r="132">
          <cell r="D132" t="str">
            <v>Storm surge</v>
          </cell>
          <cell r="E132" t="str">
            <v>Please choose</v>
          </cell>
          <cell r="G132" t="str">
            <v>enhanced level of protection</v>
          </cell>
        </row>
        <row r="133">
          <cell r="D133" t="str">
            <v>Hurricane</v>
          </cell>
          <cell r="E133" t="str">
            <v>Selected</v>
          </cell>
        </row>
        <row r="134">
          <cell r="E134" t="str">
            <v>Not relevant</v>
          </cell>
          <cell r="H134" t="str">
            <v>5: All (Fully integrated)</v>
          </cell>
        </row>
        <row r="135">
          <cell r="H135" t="str">
            <v>4: Most</v>
          </cell>
        </row>
        <row r="136">
          <cell r="H136" t="str">
            <v>3: Some</v>
          </cell>
        </row>
        <row r="137">
          <cell r="C137" t="str">
            <v>5: All</v>
          </cell>
          <cell r="D137" t="str">
            <v>Select</v>
          </cell>
          <cell r="G137" t="str">
            <v>Community</v>
          </cell>
          <cell r="H137" t="str">
            <v>2: Most not integrated</v>
          </cell>
          <cell r="J137" t="str">
            <v>Other</v>
          </cell>
        </row>
        <row r="138">
          <cell r="C138" t="str">
            <v>4: Almost all</v>
          </cell>
          <cell r="D138" t="str">
            <v>Private</v>
          </cell>
          <cell r="E138" t="str">
            <v>Type</v>
          </cell>
          <cell r="G138" t="str">
            <v>Multi-community</v>
          </cell>
          <cell r="H138" t="str">
            <v>1: None</v>
          </cell>
          <cell r="J138" t="str">
            <v>Agriculture</v>
          </cell>
        </row>
        <row r="139">
          <cell r="C139" t="str">
            <v>3: Half</v>
          </cell>
          <cell r="D139" t="str">
            <v>Public</v>
          </cell>
          <cell r="E139" t="str">
            <v>Scale</v>
          </cell>
          <cell r="G139" t="str">
            <v>Departmental</v>
          </cell>
          <cell r="J139" t="str">
            <v>Coastal management</v>
          </cell>
          <cell r="K139" t="str">
            <v>Livestock production</v>
          </cell>
        </row>
        <row r="140">
          <cell r="C140" t="str">
            <v>2: Some</v>
          </cell>
          <cell r="D140" t="str">
            <v>NGO</v>
          </cell>
          <cell r="E140" t="str">
            <v>Sector</v>
          </cell>
          <cell r="G140" t="str">
            <v>National</v>
          </cell>
          <cell r="J140" t="str">
            <v>Disaster risk reduction</v>
          </cell>
          <cell r="K140" t="str">
            <v>Manufacturing</v>
          </cell>
        </row>
        <row r="141">
          <cell r="C141" t="str">
            <v>1: None</v>
          </cell>
          <cell r="H141" t="str">
            <v>5: Very high improvement</v>
          </cell>
          <cell r="J141" t="str">
            <v>Food security</v>
          </cell>
          <cell r="K141" t="str">
            <v>other</v>
          </cell>
        </row>
        <row r="142">
          <cell r="D142" t="str">
            <v>National</v>
          </cell>
          <cell r="H142" t="str">
            <v>4: High improvement</v>
          </cell>
          <cell r="J142" t="str">
            <v xml:space="preserve">Health </v>
          </cell>
          <cell r="K142" t="str">
            <v>Services</v>
          </cell>
        </row>
        <row r="143">
          <cell r="D143" t="str">
            <v>Regional</v>
          </cell>
          <cell r="H143" t="str">
            <v>3: Moderate improvement</v>
          </cell>
          <cell r="J143" t="str">
            <v>Urban development</v>
          </cell>
        </row>
        <row r="144">
          <cell r="D144" t="str">
            <v>Local</v>
          </cell>
          <cell r="H144" t="str">
            <v>2: Limited improvement</v>
          </cell>
          <cell r="J144" t="str">
            <v>Water management</v>
          </cell>
        </row>
        <row r="145">
          <cell r="H145" t="str">
            <v>1: No improvement</v>
          </cell>
          <cell r="J145" t="str">
            <v>Multi-sector</v>
          </cell>
        </row>
        <row r="146">
          <cell r="F146" t="str">
            <v>4: High capacity</v>
          </cell>
          <cell r="G146" t="str">
            <v>5: Fully aware</v>
          </cell>
          <cell r="H146" t="str">
            <v>5: Highly responsive (All defined elements )</v>
          </cell>
          <cell r="I146" t="str">
            <v>5: Fully improved</v>
          </cell>
          <cell r="K146" t="str">
            <v>5: Very effective</v>
          </cell>
        </row>
        <row r="147">
          <cell r="F147" t="str">
            <v>3: Medium capacity</v>
          </cell>
          <cell r="G147" t="str">
            <v>4: Mostly aware</v>
          </cell>
          <cell r="H147" t="str">
            <v>4: Mostly responsive (Most defined elements)</v>
          </cell>
          <cell r="I147" t="str">
            <v>4: Mostly Improved</v>
          </cell>
          <cell r="K147" t="str">
            <v>4: Effective</v>
          </cell>
        </row>
        <row r="148">
          <cell r="F148" t="str">
            <v>2: Low capacity</v>
          </cell>
          <cell r="G148" t="str">
            <v>3: Partially aware</v>
          </cell>
          <cell r="H148" t="str">
            <v>3: Moderately responsive (Some defined elements)</v>
          </cell>
          <cell r="I148" t="str">
            <v>3: Moderately improved</v>
          </cell>
          <cell r="K148" t="str">
            <v>3: Moderately effective</v>
          </cell>
        </row>
        <row r="149">
          <cell r="F149" t="str">
            <v>1: No capacity</v>
          </cell>
          <cell r="G149" t="str">
            <v>2: Partially not aware</v>
          </cell>
          <cell r="H149" t="str">
            <v>2: Partially responsive (Lacks most elements)</v>
          </cell>
          <cell r="I149" t="str">
            <v>2: Somewhat improved</v>
          </cell>
          <cell r="K149" t="str">
            <v>2: Partially effective</v>
          </cell>
        </row>
        <row r="150">
          <cell r="G150" t="str">
            <v>1: Aware of neither</v>
          </cell>
          <cell r="H150" t="str">
            <v>1: Non responsive (Lacks all elements )</v>
          </cell>
          <cell r="I150" t="str">
            <v>1: Not improved</v>
          </cell>
          <cell r="K150" t="str">
            <v>1: Ineffective</v>
          </cell>
        </row>
        <row r="152">
          <cell r="I152" t="str">
            <v>Monitoring/Forecasting capacity</v>
          </cell>
        </row>
        <row r="153">
          <cell r="I153" t="str">
            <v>Policy/regulatory reform</v>
          </cell>
        </row>
        <row r="154">
          <cell r="I154" t="str">
            <v>Capacity development</v>
          </cell>
        </row>
        <row r="155">
          <cell r="H155" t="str">
            <v>Communication &amp; Information policy</v>
          </cell>
          <cell r="I155" t="str">
            <v>Sustainable forest management</v>
          </cell>
        </row>
        <row r="156">
          <cell r="H156" t="str">
            <v>Domestic policy</v>
          </cell>
          <cell r="I156" t="str">
            <v>Strengthening infrastructure</v>
          </cell>
        </row>
        <row r="157">
          <cell r="H157" t="str">
            <v>Economic policy</v>
          </cell>
          <cell r="I157" t="str">
            <v>Supporting livelihoods</v>
          </cell>
        </row>
        <row r="158">
          <cell r="H158" t="str">
            <v>Education policy</v>
          </cell>
          <cell r="I158" t="str">
            <v>Mangrove reforestation</v>
          </cell>
        </row>
        <row r="159">
          <cell r="H159" t="str">
            <v>Energy policy</v>
          </cell>
          <cell r="I159" t="str">
            <v>Coastal drainage and infrastructure</v>
          </cell>
        </row>
        <row r="160">
          <cell r="H160" t="str">
            <v>Environmental policy</v>
          </cell>
          <cell r="I160" t="str">
            <v>Irrigation system</v>
          </cell>
        </row>
        <row r="161">
          <cell r="H161" t="str">
            <v>Foreign policy</v>
          </cell>
          <cell r="I161" t="str">
            <v>Community-based adaptation</v>
          </cell>
        </row>
        <row r="162">
          <cell r="H162" t="str">
            <v>Health policy</v>
          </cell>
          <cell r="I162" t="str">
            <v>Erosion control</v>
          </cell>
        </row>
        <row r="163">
          <cell r="H163" t="str">
            <v>Housing policy</v>
          </cell>
          <cell r="I163" t="str">
            <v>Soil water conservation</v>
          </cell>
        </row>
        <row r="164">
          <cell r="H164" t="str">
            <v>Human resource policies</v>
          </cell>
          <cell r="I164" t="str">
            <v>Microfinance</v>
          </cell>
        </row>
        <row r="165">
          <cell r="H165" t="str">
            <v>Information policy</v>
          </cell>
          <cell r="I165" t="str">
            <v>Special Program for women</v>
          </cell>
        </row>
        <row r="166">
          <cell r="H166" t="str">
            <v>Macroeconomic policy</v>
          </cell>
          <cell r="I166" t="str">
            <v>Livelihoods</v>
          </cell>
        </row>
        <row r="167">
          <cell r="H167" t="str">
            <v>Monetary policy</v>
          </cell>
          <cell r="I167" t="str">
            <v>Water storage</v>
          </cell>
        </row>
        <row r="168">
          <cell r="H168" t="str">
            <v>Population policy</v>
          </cell>
          <cell r="I168" t="str">
            <v>ICT and information dissemination</v>
          </cell>
        </row>
        <row r="169">
          <cell r="H169" t="str">
            <v>Private policy</v>
          </cell>
        </row>
        <row r="170">
          <cell r="H170" t="str">
            <v>Public policy</v>
          </cell>
        </row>
        <row r="171">
          <cell r="H171" t="str">
            <v>Science policy</v>
          </cell>
        </row>
        <row r="172">
          <cell r="H172" t="str">
            <v>Social policy</v>
          </cell>
        </row>
        <row r="173">
          <cell r="H173" t="str">
            <v>Transportation policy</v>
          </cell>
        </row>
        <row r="174">
          <cell r="H174" t="str">
            <v>Urban policy</v>
          </cell>
        </row>
        <row r="175">
          <cell r="H175" t="str">
            <v>Water policy</v>
          </cell>
        </row>
        <row r="176">
          <cell r="H176" t="str">
            <v>Other policy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d data"/>
      <sheetName val="PPR results tracker"/>
    </sheetNames>
    <sheetDataSet>
      <sheetData sheetId="0" refreshError="1"/>
      <sheetData sheetId="1">
        <row r="126">
          <cell r="D126" t="str">
            <v>Glacier lake outburst flood</v>
          </cell>
        </row>
        <row r="127">
          <cell r="D127" t="str">
            <v>Inland flooding</v>
          </cell>
          <cell r="F127" t="str">
            <v>biological assets</v>
          </cell>
          <cell r="I127" t="str">
            <v>5: Fully enforced (All elements implemented)</v>
          </cell>
        </row>
        <row r="128">
          <cell r="D128" t="str">
            <v>Salinization</v>
          </cell>
          <cell r="F128" t="str">
            <v>land</v>
          </cell>
          <cell r="I128" t="str">
            <v>4: Enforced (Most elements implemented)</v>
          </cell>
        </row>
        <row r="129">
          <cell r="D129" t="str">
            <v>Drought</v>
          </cell>
          <cell r="F129" t="str">
            <v>water areas</v>
          </cell>
          <cell r="I129" t="str">
            <v>3: Partially enforced (Some elements implemented)</v>
          </cell>
        </row>
        <row r="130">
          <cell r="D130" t="str">
            <v>Wind</v>
          </cell>
          <cell r="F130" t="str">
            <v>subsoil assets</v>
          </cell>
          <cell r="G130" t="str">
            <v>increased adpative capacity</v>
          </cell>
          <cell r="I130" t="str">
            <v>2: Partially not enforced (Most elements not implemented)</v>
          </cell>
        </row>
        <row r="131">
          <cell r="D131" t="str">
            <v>Coastal flooding</v>
          </cell>
          <cell r="F131" t="str">
            <v>air</v>
          </cell>
          <cell r="G131" t="str">
            <v>achieved</v>
          </cell>
          <cell r="I131" t="str">
            <v>1: Not enforced (No elements implemented)</v>
          </cell>
        </row>
        <row r="132">
          <cell r="D132" t="str">
            <v>Storm surge</v>
          </cell>
          <cell r="E132" t="str">
            <v>Please choose</v>
          </cell>
          <cell r="G132" t="str">
            <v>enhanced level of protection</v>
          </cell>
        </row>
        <row r="133">
          <cell r="D133" t="str">
            <v>Hurricane</v>
          </cell>
          <cell r="E133" t="str">
            <v>Selected</v>
          </cell>
        </row>
        <row r="134">
          <cell r="E134" t="str">
            <v>Not relevant</v>
          </cell>
          <cell r="H134" t="str">
            <v>5: All (Fully integrated)</v>
          </cell>
        </row>
        <row r="135">
          <cell r="H135" t="str">
            <v>4: Most</v>
          </cell>
        </row>
        <row r="136">
          <cell r="H136" t="str">
            <v>3: Some</v>
          </cell>
        </row>
        <row r="137">
          <cell r="C137" t="str">
            <v>5: All</v>
          </cell>
          <cell r="D137" t="str">
            <v>Select</v>
          </cell>
          <cell r="G137" t="str">
            <v>Community</v>
          </cell>
          <cell r="H137" t="str">
            <v>2: Most not integrated</v>
          </cell>
          <cell r="J137" t="str">
            <v>Other</v>
          </cell>
        </row>
        <row r="138">
          <cell r="C138" t="str">
            <v>4: Almost all</v>
          </cell>
          <cell r="D138" t="str">
            <v>Private</v>
          </cell>
          <cell r="E138" t="str">
            <v>Type</v>
          </cell>
          <cell r="G138" t="str">
            <v>Multi-community</v>
          </cell>
          <cell r="H138" t="str">
            <v>1: None</v>
          </cell>
          <cell r="J138" t="str">
            <v>Agriculture</v>
          </cell>
        </row>
        <row r="139">
          <cell r="C139" t="str">
            <v>3: Half</v>
          </cell>
          <cell r="D139" t="str">
            <v>Public</v>
          </cell>
          <cell r="E139" t="str">
            <v>Scale</v>
          </cell>
          <cell r="G139" t="str">
            <v>Departmental</v>
          </cell>
          <cell r="J139" t="str">
            <v>Coastal management</v>
          </cell>
          <cell r="K139" t="str">
            <v>Livestock production</v>
          </cell>
        </row>
        <row r="140">
          <cell r="C140" t="str">
            <v>2: Some</v>
          </cell>
          <cell r="D140" t="str">
            <v>NGO</v>
          </cell>
          <cell r="E140" t="str">
            <v>Sector</v>
          </cell>
          <cell r="G140" t="str">
            <v>National</v>
          </cell>
          <cell r="J140" t="str">
            <v>Disaster risk reduction</v>
          </cell>
          <cell r="K140" t="str">
            <v>Manufacturing</v>
          </cell>
        </row>
        <row r="141">
          <cell r="C141" t="str">
            <v>1: None</v>
          </cell>
          <cell r="H141" t="str">
            <v>5: Very high improvement</v>
          </cell>
          <cell r="J141" t="str">
            <v>Food security</v>
          </cell>
          <cell r="K141" t="str">
            <v>other</v>
          </cell>
        </row>
        <row r="142">
          <cell r="D142" t="str">
            <v>National</v>
          </cell>
          <cell r="H142" t="str">
            <v>4: High improvement</v>
          </cell>
          <cell r="J142" t="str">
            <v xml:space="preserve">Health </v>
          </cell>
          <cell r="K142" t="str">
            <v>Services</v>
          </cell>
        </row>
        <row r="143">
          <cell r="D143" t="str">
            <v>Regional</v>
          </cell>
          <cell r="H143" t="str">
            <v>3: Moderate improvement</v>
          </cell>
          <cell r="J143" t="str">
            <v>Urban development</v>
          </cell>
        </row>
        <row r="144">
          <cell r="D144" t="str">
            <v>Local</v>
          </cell>
          <cell r="H144" t="str">
            <v>2: Limited improvement</v>
          </cell>
          <cell r="J144" t="str">
            <v>Water management</v>
          </cell>
        </row>
        <row r="145">
          <cell r="H145" t="str">
            <v>1: No improvement</v>
          </cell>
          <cell r="J145" t="str">
            <v>Multi-sector</v>
          </cell>
        </row>
        <row r="146">
          <cell r="F146" t="str">
            <v>4: High capacity</v>
          </cell>
          <cell r="G146" t="str">
            <v>5: Fully aware</v>
          </cell>
          <cell r="H146" t="str">
            <v>5: Highly responsive (All defined elements )</v>
          </cell>
          <cell r="I146" t="str">
            <v>5: Fully improved</v>
          </cell>
          <cell r="K146" t="str">
            <v>5: Very effective</v>
          </cell>
        </row>
        <row r="147">
          <cell r="F147" t="str">
            <v>3: Medium capacity</v>
          </cell>
          <cell r="G147" t="str">
            <v>4: Mostly aware</v>
          </cell>
          <cell r="H147" t="str">
            <v>4: Mostly responsive (Most defined elements)</v>
          </cell>
          <cell r="I147" t="str">
            <v>4: Mostly Improved</v>
          </cell>
          <cell r="K147" t="str">
            <v>4: Effective</v>
          </cell>
        </row>
        <row r="148">
          <cell r="F148" t="str">
            <v>2: Low capacity</v>
          </cell>
          <cell r="G148" t="str">
            <v>3: Partially aware</v>
          </cell>
          <cell r="H148" t="str">
            <v>3: Moderately responsive (Some defined elements)</v>
          </cell>
          <cell r="I148" t="str">
            <v>3: Moderately improved</v>
          </cell>
          <cell r="K148" t="str">
            <v>3: Moderately effective</v>
          </cell>
        </row>
        <row r="149">
          <cell r="F149" t="str">
            <v>1: No capacity</v>
          </cell>
          <cell r="G149" t="str">
            <v>2: Partially not aware</v>
          </cell>
          <cell r="H149" t="str">
            <v>2: Partially responsive (Lacks most elements)</v>
          </cell>
          <cell r="I149" t="str">
            <v>2: Somewhat improved</v>
          </cell>
          <cell r="K149" t="str">
            <v>2: Partially effective</v>
          </cell>
        </row>
        <row r="150">
          <cell r="G150" t="str">
            <v>1: Aware of neither</v>
          </cell>
          <cell r="H150" t="str">
            <v>1: Non responsive (Lacks all elements )</v>
          </cell>
          <cell r="I150" t="str">
            <v>1: Not improved</v>
          </cell>
          <cell r="K150" t="str">
            <v>1: Ineffective</v>
          </cell>
        </row>
        <row r="152">
          <cell r="I152" t="str">
            <v>Monitoring/Forecasting capacity</v>
          </cell>
        </row>
        <row r="153">
          <cell r="I153" t="str">
            <v>Policy/regulatory reform</v>
          </cell>
        </row>
        <row r="154">
          <cell r="I154" t="str">
            <v>Capacity development</v>
          </cell>
        </row>
        <row r="155">
          <cell r="H155" t="str">
            <v>Communication &amp; Information policy</v>
          </cell>
          <cell r="I155" t="str">
            <v>Sustainable forest management</v>
          </cell>
        </row>
        <row r="156">
          <cell r="H156" t="str">
            <v>Domestic policy</v>
          </cell>
          <cell r="I156" t="str">
            <v>Strengthening infrastructure</v>
          </cell>
        </row>
        <row r="157">
          <cell r="H157" t="str">
            <v>Economic policy</v>
          </cell>
          <cell r="I157" t="str">
            <v>Supporting livelihoods</v>
          </cell>
        </row>
        <row r="158">
          <cell r="H158" t="str">
            <v>Education policy</v>
          </cell>
          <cell r="I158" t="str">
            <v>Mangrove reforestation</v>
          </cell>
        </row>
        <row r="159">
          <cell r="H159" t="str">
            <v>Energy policy</v>
          </cell>
          <cell r="I159" t="str">
            <v>Coastal drainage and infrastructure</v>
          </cell>
        </row>
        <row r="160">
          <cell r="H160" t="str">
            <v>Environmental policy</v>
          </cell>
          <cell r="I160" t="str">
            <v>Irrigation system</v>
          </cell>
        </row>
        <row r="161">
          <cell r="H161" t="str">
            <v>Foreign policy</v>
          </cell>
          <cell r="I161" t="str">
            <v>Community-based adaptation</v>
          </cell>
        </row>
        <row r="162">
          <cell r="H162" t="str">
            <v>Health policy</v>
          </cell>
          <cell r="I162" t="str">
            <v>Erosion control</v>
          </cell>
        </row>
        <row r="163">
          <cell r="H163" t="str">
            <v>Housing policy</v>
          </cell>
          <cell r="I163" t="str">
            <v>Soil water conservation</v>
          </cell>
        </row>
        <row r="164">
          <cell r="H164" t="str">
            <v>Human resource policies</v>
          </cell>
          <cell r="I164" t="str">
            <v>Microfinance</v>
          </cell>
        </row>
        <row r="165">
          <cell r="H165" t="str">
            <v>Information policy</v>
          </cell>
          <cell r="I165" t="str">
            <v>Special Program for women</v>
          </cell>
        </row>
        <row r="166">
          <cell r="H166" t="str">
            <v>Macroeconomic policy</v>
          </cell>
          <cell r="I166" t="str">
            <v>Livelihoods</v>
          </cell>
        </row>
        <row r="167">
          <cell r="H167" t="str">
            <v>Monetary policy</v>
          </cell>
          <cell r="I167" t="str">
            <v>Water storage</v>
          </cell>
        </row>
        <row r="168">
          <cell r="H168" t="str">
            <v>Population policy</v>
          </cell>
          <cell r="I168" t="str">
            <v>ICT and information dissemination</v>
          </cell>
        </row>
        <row r="169">
          <cell r="H169" t="str">
            <v>Private policy</v>
          </cell>
        </row>
        <row r="170">
          <cell r="H170" t="str">
            <v>Public policy</v>
          </cell>
        </row>
        <row r="171">
          <cell r="H171" t="str">
            <v>Science policy</v>
          </cell>
        </row>
        <row r="172">
          <cell r="H172" t="str">
            <v>Social policy</v>
          </cell>
        </row>
        <row r="173">
          <cell r="H173" t="str">
            <v>Transportation policy</v>
          </cell>
        </row>
        <row r="174">
          <cell r="H174" t="str">
            <v>Urban policy</v>
          </cell>
        </row>
        <row r="175">
          <cell r="H175" t="str">
            <v>Water policy</v>
          </cell>
        </row>
        <row r="176">
          <cell r="H176" t="str">
            <v>Other policy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quats-au-31-déc USD"/>
      <sheetName val="Overview"/>
      <sheetName val="FinancialData"/>
      <sheetName val="Procurement"/>
      <sheetName val="Risk Assesment"/>
      <sheetName val="Rating"/>
      <sheetName val="Lessons Learned"/>
      <sheetName val="Results Tracker-exemple"/>
      <sheetName val="Project Indicators0"/>
      <sheetName val="Results Tracker"/>
    </sheetNames>
    <sheetDataSet>
      <sheetData sheetId="0"/>
      <sheetData sheetId="1"/>
      <sheetData sheetId="2"/>
      <sheetData sheetId="3"/>
      <sheetData sheetId="4"/>
      <sheetData sheetId="5"/>
      <sheetData sheetId="6"/>
      <sheetData sheetId="7">
        <row r="146">
          <cell r="G146" t="str">
            <v>Community</v>
          </cell>
        </row>
        <row r="147">
          <cell r="G147" t="str">
            <v>Multi-community</v>
          </cell>
        </row>
        <row r="148">
          <cell r="G148" t="str">
            <v>Departmental</v>
          </cell>
        </row>
        <row r="149">
          <cell r="G149" t="str">
            <v>National</v>
          </cell>
        </row>
      </sheetData>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BA"/>
      <sheetName val="Gantt"/>
      <sheetName val="Gantt EE"/>
      <sheetName val="Feuil1"/>
      <sheetName val="Vérification PTBA2"/>
      <sheetName val="Délégué-Engagé"/>
      <sheetName val="Récap-2017"/>
      <sheetName val="Récap0"/>
      <sheetName val="Reliquats-au-31-déc-2016"/>
      <sheetName val="Reliquats-au-31-déc USD"/>
      <sheetName val="PTBA 2016"/>
      <sheetName val="Contribution-Partenaires"/>
      <sheetName val="Reliquats-au-31-déc-2017"/>
      <sheetName val="Reliq-2017-au-31-mars-18"/>
      <sheetName val="Reliq-2017-au-30-juin-18"/>
      <sheetName val="PTBA 2016-2017"/>
      <sheetName val="Contrat Spécifique"/>
      <sheetName val="Suivi-réalisations-16-17-18"/>
      <sheetName val="PTBA 16-17-18"/>
      <sheetName val="Conventions 2018"/>
      <sheetName val="Récap 16-17-18"/>
      <sheetName val="Réalisation de formations"/>
      <sheetName val="Reliquats-au-30-sept-17"/>
      <sheetName val="Reliquats0"/>
      <sheetName val="Raticipation Partenaires"/>
      <sheetName val="Feui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E1">
            <v>9.6446078710224494</v>
          </cell>
        </row>
      </sheetData>
      <sheetData sheetId="10">
        <row r="1">
          <cell r="A1">
            <v>9.6446078710224494</v>
          </cell>
        </row>
        <row r="50">
          <cell r="F50">
            <v>100000</v>
          </cell>
        </row>
      </sheetData>
      <sheetData sheetId="11">
        <row r="1">
          <cell r="A1">
            <v>9.6446078710224494</v>
          </cell>
        </row>
      </sheetData>
      <sheetData sheetId="12" refreshError="1"/>
      <sheetData sheetId="13" refreshError="1"/>
      <sheetData sheetId="14" refreshError="1"/>
      <sheetData sheetId="15" refreshError="1"/>
      <sheetData sheetId="16">
        <row r="18">
          <cell r="L18">
            <v>480000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BA"/>
      <sheetName val="Gantt"/>
      <sheetName val="AAP-PTBA3"/>
      <sheetName val="Extrait de Compte"/>
      <sheetName val="DDZO-2016"/>
      <sheetName val="Gantt EE (2)"/>
      <sheetName val="Eng-Paie-PTBA3-2019(mars20)"/>
      <sheetName val="Eng-Paie-PTBA3-2019"/>
      <sheetName val="Eng-Paie-PTBA2-2017"/>
      <sheetName val="Eng-Paie-PTBA1-2016"/>
      <sheetName val="PTBA 2017 au 31-mars-2019"/>
      <sheetName val="Gantt EE"/>
      <sheetName val="Feuil1"/>
      <sheetName val="Vérification PTBA2"/>
      <sheetName val="Délégué-Engagé"/>
      <sheetName val="Récap-2017"/>
      <sheetName val="Récap0"/>
      <sheetName val="Reliquats-au-31-déc-2016"/>
      <sheetName val="Reliquats-au-31-déc USD"/>
      <sheetName val="PTBA 2016"/>
      <sheetName val="Contribution-Partenaires"/>
      <sheetName val="Reliquats-au-31-déc-2017"/>
      <sheetName val="Reliq-2017-au-31-mars-18"/>
      <sheetName val="Reliq-2017-au-30-juin-18"/>
      <sheetName val="Engagement PTBA2 au 30-sep-19"/>
      <sheetName val="PTBA 2017 au-30-Déc-18"/>
      <sheetName val="PTBA 2017 au-30-mars-19"/>
      <sheetName val="PTBA 2016-2017"/>
      <sheetName val="Contrat Spécifique"/>
      <sheetName val="Suivi-réalis-au-30-mai-18"/>
      <sheetName val="Suivi-réalis-au-30-sept-18"/>
      <sheetName val="Suivi-réalis-au-30-déc-18"/>
      <sheetName val="Suivi-réalis-au-30-mars-19"/>
      <sheetName val="PTBA 16-17 (au 31-12-17)"/>
      <sheetName val="Suivi-réalis-au-30-Juin-19"/>
      <sheetName val="Suivi des réalisations"/>
      <sheetName val="PTBA 16-17-18"/>
      <sheetName val="Conventions 2018"/>
      <sheetName val="Récap 16-17-18"/>
      <sheetName val="Réalisation de formations"/>
      <sheetName val="Reliquats-au-30-sept-17"/>
      <sheetName val="Reliquats0"/>
      <sheetName val="Appels à projet PTBA3"/>
      <sheetName val="Feuil2"/>
    </sheetNames>
    <sheetDataSet>
      <sheetData sheetId="0"/>
      <sheetData sheetId="1"/>
      <sheetData sheetId="2"/>
      <sheetData sheetId="3">
        <row r="35">
          <cell r="N35">
            <v>442762.08999999997</v>
          </cell>
        </row>
        <row r="136">
          <cell r="H136">
            <v>4765600</v>
          </cell>
        </row>
        <row r="137">
          <cell r="H137">
            <v>3000000</v>
          </cell>
        </row>
      </sheetData>
      <sheetData sheetId="4"/>
      <sheetData sheetId="5"/>
      <sheetData sheetId="6">
        <row r="6">
          <cell r="K6">
            <v>4821650</v>
          </cell>
        </row>
        <row r="59">
          <cell r="E59">
            <v>7194593.4503530413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1">
          <cell r="S11">
            <v>1024000</v>
          </cell>
        </row>
        <row r="12">
          <cell r="T12">
            <v>1024000</v>
          </cell>
        </row>
        <row r="25">
          <cell r="S25">
            <v>928000</v>
          </cell>
          <cell r="T25">
            <v>500000</v>
          </cell>
        </row>
        <row r="26">
          <cell r="T26">
            <v>428000</v>
          </cell>
        </row>
        <row r="27">
          <cell r="S27">
            <v>938700</v>
          </cell>
        </row>
        <row r="31">
          <cell r="S31">
            <v>3864153</v>
          </cell>
        </row>
        <row r="35">
          <cell r="S35">
            <v>5500000</v>
          </cell>
          <cell r="T35">
            <v>3313600</v>
          </cell>
        </row>
        <row r="36">
          <cell r="T36">
            <v>2500000</v>
          </cell>
        </row>
        <row r="40">
          <cell r="S40">
            <v>1071200</v>
          </cell>
        </row>
        <row r="46">
          <cell r="S46">
            <v>443000</v>
          </cell>
        </row>
        <row r="49">
          <cell r="S49">
            <v>150000</v>
          </cell>
        </row>
        <row r="51">
          <cell r="S51">
            <v>100000</v>
          </cell>
        </row>
        <row r="54">
          <cell r="S54">
            <v>251000</v>
          </cell>
        </row>
        <row r="56">
          <cell r="S56">
            <v>100000</v>
          </cell>
        </row>
        <row r="59">
          <cell r="S59">
            <v>867000</v>
          </cell>
        </row>
        <row r="69">
          <cell r="S69">
            <v>243000</v>
          </cell>
        </row>
        <row r="74">
          <cell r="S74">
            <v>100000</v>
          </cell>
        </row>
        <row r="75">
          <cell r="S75">
            <v>100000</v>
          </cell>
        </row>
        <row r="79">
          <cell r="S79">
            <v>400000</v>
          </cell>
        </row>
      </sheetData>
      <sheetData sheetId="36">
        <row r="10">
          <cell r="X10">
            <v>1024000</v>
          </cell>
          <cell r="Z10">
            <v>1024000</v>
          </cell>
          <cell r="AA10">
            <v>106173.31608438355</v>
          </cell>
        </row>
        <row r="20">
          <cell r="X20">
            <v>0</v>
          </cell>
        </row>
        <row r="21">
          <cell r="X21">
            <v>928000</v>
          </cell>
          <cell r="Z21">
            <v>928000</v>
          </cell>
          <cell r="AA21">
            <v>96219.567701472595</v>
          </cell>
        </row>
        <row r="22">
          <cell r="X22">
            <v>938700</v>
          </cell>
          <cell r="Z22">
            <v>0</v>
          </cell>
          <cell r="AA22">
            <v>0</v>
          </cell>
        </row>
        <row r="24">
          <cell r="X24">
            <v>0</v>
          </cell>
        </row>
        <row r="26">
          <cell r="X26">
            <v>3864153</v>
          </cell>
          <cell r="Z26">
            <v>3571130.2207359839</v>
          </cell>
          <cell r="AA26">
            <v>370272.20478974219</v>
          </cell>
        </row>
        <row r="30">
          <cell r="X30">
            <v>5500000</v>
          </cell>
          <cell r="Z30">
            <v>5813600</v>
          </cell>
          <cell r="AA30">
            <v>602782.41248844936</v>
          </cell>
        </row>
        <row r="34">
          <cell r="X34">
            <v>1071200</v>
          </cell>
          <cell r="Z34">
            <v>989969.77926401619</v>
          </cell>
          <cell r="AA34">
            <v>102644.89676541582</v>
          </cell>
        </row>
        <row r="40">
          <cell r="X40">
            <v>443000</v>
          </cell>
          <cell r="AA40">
            <v>0</v>
          </cell>
        </row>
        <row r="43">
          <cell r="X43">
            <v>150000</v>
          </cell>
          <cell r="Z43">
            <v>145594.28571428571</v>
          </cell>
          <cell r="AA43">
            <v>15095.925895725493</v>
          </cell>
        </row>
        <row r="45">
          <cell r="X45">
            <v>100000</v>
          </cell>
          <cell r="Z45">
            <v>97062.85714285713</v>
          </cell>
          <cell r="AA45">
            <v>10063.950597150328</v>
          </cell>
        </row>
        <row r="48">
          <cell r="X48">
            <v>251000</v>
          </cell>
          <cell r="AA48">
            <v>0</v>
          </cell>
        </row>
        <row r="50">
          <cell r="X50">
            <v>100000</v>
          </cell>
          <cell r="Z50">
            <v>97062.85714285713</v>
          </cell>
          <cell r="AA50">
            <v>10063.950597150328</v>
          </cell>
        </row>
        <row r="53">
          <cell r="X53">
            <v>867000</v>
          </cell>
          <cell r="AA53">
            <v>0</v>
          </cell>
        </row>
        <row r="63">
          <cell r="X63">
            <v>243000</v>
          </cell>
          <cell r="AA63">
            <v>0</v>
          </cell>
        </row>
        <row r="68">
          <cell r="X68">
            <v>100000</v>
          </cell>
          <cell r="Z68">
            <v>96800</v>
          </cell>
          <cell r="AA68">
            <v>10036.696286101882</v>
          </cell>
        </row>
        <row r="69">
          <cell r="X69">
            <v>100000</v>
          </cell>
          <cell r="Z69">
            <v>0</v>
          </cell>
          <cell r="AA69">
            <v>0</v>
          </cell>
        </row>
        <row r="70">
          <cell r="Z70">
            <v>0</v>
          </cell>
        </row>
        <row r="73">
          <cell r="X73">
            <v>400000</v>
          </cell>
          <cell r="Z73">
            <v>94992</v>
          </cell>
          <cell r="AA73">
            <v>9849.2340248903929</v>
          </cell>
        </row>
        <row r="74">
          <cell r="Z74">
            <v>0</v>
          </cell>
        </row>
        <row r="86">
          <cell r="X86">
            <v>16080053</v>
          </cell>
          <cell r="Z86">
            <v>12858212</v>
          </cell>
          <cell r="AA86">
            <v>1333202.1552304819</v>
          </cell>
        </row>
      </sheetData>
      <sheetData sheetId="37"/>
      <sheetData sheetId="38"/>
      <sheetData sheetId="39"/>
      <sheetData sheetId="40"/>
      <sheetData sheetId="41"/>
      <sheetData sheetId="42"/>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BA"/>
      <sheetName val="Gantt"/>
      <sheetName val="Gantt EE (2)"/>
      <sheetName val="AAP-PTBA3"/>
      <sheetName val="Extrait de Compte"/>
      <sheetName val="DDZO-2016"/>
      <sheetName val="Eng-Paie-PTBA3-2019(mars20)"/>
      <sheetName val="Eng-Paie-PTBA3-2019"/>
      <sheetName val="Eng-Paie-PTBA2-2017"/>
      <sheetName val="Eng-Paie-PTBA1-2016"/>
      <sheetName val="PTBA 2017 au 31-mars-2019"/>
      <sheetName val="Gantt EE"/>
      <sheetName val="Feuil1"/>
      <sheetName val="Vérification PTBA2"/>
      <sheetName val="Délégué-Engagé"/>
      <sheetName val="Récap-2017"/>
      <sheetName val="Récap0"/>
      <sheetName val="Reliquats-au-31-déc-2016"/>
      <sheetName val="Reliquats-au-31-déc USD"/>
      <sheetName val="PTBA 2016"/>
      <sheetName val="Contribution-Partenaires"/>
      <sheetName val="Reliquats-au-31-déc-2017"/>
      <sheetName val="Reliq-2017-au-31-mars-18"/>
      <sheetName val="Reliq-2017-au-30-juin-18"/>
      <sheetName val="Engagement PTBA2 au 30-sep-19"/>
      <sheetName val="PTBA 2017 au-30-Déc-18"/>
      <sheetName val="PTBA 2017 au-30-mars-19"/>
      <sheetName val="PTBA 2016-2017"/>
      <sheetName val="Contrat Spécifique"/>
      <sheetName val="Suivi-réalis-au-30-mai-18"/>
      <sheetName val="Suivi-réalis-au-30-sept-18"/>
      <sheetName val="Suivi-réalis-au-30-déc-18"/>
      <sheetName val="Suivi-réalis-au-30-mars-19"/>
      <sheetName val="PTBA 16-17 (au 31-12-17)"/>
      <sheetName val="Suivi-réalis-au-30-Juin-19"/>
      <sheetName val="Suivi des réalisations"/>
      <sheetName val="PTBA 16-17-18"/>
      <sheetName val="Conventions 2018"/>
      <sheetName val="Récap 16-17-18"/>
      <sheetName val="Réalisation de formations"/>
      <sheetName val="Reliquats-au-30-sept-17"/>
      <sheetName val="Reliquats0"/>
      <sheetName val="Appels à projet PTBA3"/>
      <sheetName val="Feuil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45">
          <cell r="X45">
            <v>4494593.4503530413</v>
          </cell>
        </row>
        <row r="46">
          <cell r="X46">
            <v>1000000</v>
          </cell>
        </row>
        <row r="47">
          <cell r="X47">
            <v>650000</v>
          </cell>
        </row>
        <row r="48">
          <cell r="X48">
            <v>600000</v>
          </cell>
        </row>
        <row r="56">
          <cell r="X56">
            <v>450000</v>
          </cell>
        </row>
        <row r="89">
          <cell r="X89">
            <v>850000</v>
          </cell>
        </row>
      </sheetData>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oubrhou@gmail.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oubrhou@gmail.com" TargetMode="External"/><Relationship Id="rId2" Type="http://schemas.openxmlformats.org/officeDocument/2006/relationships/hyperlink" Target="http://andzoa.ma/fr/2016/01/26/atelier-de-demarrage-du-pacczo/" TargetMode="External"/><Relationship Id="rId1" Type="http://schemas.openxmlformats.org/officeDocument/2006/relationships/hyperlink" Target="mailto:h.felloun@ada.gov.ma" TargetMode="External"/><Relationship Id="rId5" Type="http://schemas.openxmlformats.org/officeDocument/2006/relationships/drawing" Target="../drawings/drawing1.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X75"/>
  <sheetViews>
    <sheetView showGridLines="0" workbookViewId="0">
      <selection activeCell="A9" sqref="A9"/>
    </sheetView>
  </sheetViews>
  <sheetFormatPr defaultColWidth="11.54296875" defaultRowHeight="14.5" x14ac:dyDescent="0.35"/>
  <cols>
    <col min="1" max="1" width="12.81640625" bestFit="1" customWidth="1"/>
    <col min="2" max="2" width="0.81640625" customWidth="1"/>
    <col min="3" max="3" width="4.453125" customWidth="1"/>
    <col min="4" max="4" width="5.453125" customWidth="1"/>
    <col min="5" max="5" width="29.81640625" customWidth="1"/>
    <col min="6" max="6" width="10.54296875" customWidth="1"/>
    <col min="7" max="7" width="10.453125" customWidth="1"/>
    <col min="8" max="8" width="13.1796875" customWidth="1"/>
    <col min="9" max="9" width="10.453125" customWidth="1"/>
    <col min="10" max="10" width="9.54296875" customWidth="1"/>
    <col min="11" max="12" width="10.453125" customWidth="1"/>
    <col min="13" max="13" width="5.453125" style="249" customWidth="1"/>
    <col min="14" max="14" width="10" customWidth="1"/>
    <col min="15" max="15" width="0.81640625" customWidth="1"/>
    <col min="16" max="16" width="12.81640625" bestFit="1" customWidth="1"/>
    <col min="17" max="17" width="13.54296875" bestFit="1" customWidth="1"/>
    <col min="18" max="18" width="32.54296875" bestFit="1" customWidth="1"/>
    <col min="19" max="19" width="15.453125" bestFit="1" customWidth="1"/>
    <col min="20" max="24" width="12.81640625" bestFit="1" customWidth="1"/>
  </cols>
  <sheetData>
    <row r="1" spans="1:21" x14ac:dyDescent="0.35">
      <c r="I1">
        <f>'[6]Reliquats-au-31-déc USD'!E1</f>
        <v>9.6446078710224494</v>
      </c>
    </row>
    <row r="2" spans="1:21" ht="6.75" customHeight="1" x14ac:dyDescent="0.35"/>
    <row r="3" spans="1:21" ht="15" customHeight="1" x14ac:dyDescent="0.35">
      <c r="C3" s="917" t="s">
        <v>660</v>
      </c>
      <c r="D3" s="918"/>
      <c r="E3" s="921" t="s">
        <v>661</v>
      </c>
      <c r="F3" s="909" t="s">
        <v>662</v>
      </c>
      <c r="G3" s="909" t="s">
        <v>663</v>
      </c>
      <c r="H3" s="922" t="s">
        <v>664</v>
      </c>
      <c r="I3" s="923" t="s">
        <v>665</v>
      </c>
      <c r="J3" s="924"/>
      <c r="K3" s="905" t="s">
        <v>666</v>
      </c>
      <c r="L3" s="907" t="s">
        <v>667</v>
      </c>
      <c r="M3" s="909" t="s">
        <v>668</v>
      </c>
      <c r="N3" s="907" t="s">
        <v>669</v>
      </c>
    </row>
    <row r="4" spans="1:21" ht="22.5" customHeight="1" x14ac:dyDescent="0.35">
      <c r="C4" s="919"/>
      <c r="D4" s="920"/>
      <c r="E4" s="921"/>
      <c r="F4" s="910"/>
      <c r="G4" s="910"/>
      <c r="H4" s="922"/>
      <c r="I4" s="250" t="s">
        <v>670</v>
      </c>
      <c r="J4" s="250" t="s">
        <v>671</v>
      </c>
      <c r="K4" s="906"/>
      <c r="L4" s="908"/>
      <c r="M4" s="910"/>
      <c r="N4" s="908"/>
      <c r="S4" s="308">
        <f>I9+J9</f>
        <v>1466635.14</v>
      </c>
      <c r="T4" s="300">
        <f t="shared" ref="T4:T10" si="0">S4/$I$1</f>
        <v>152067.88701141026</v>
      </c>
    </row>
    <row r="5" spans="1:21" x14ac:dyDescent="0.35">
      <c r="C5" s="911" t="s">
        <v>672</v>
      </c>
      <c r="D5" s="914" t="s">
        <v>673</v>
      </c>
      <c r="E5" s="251" t="s">
        <v>674</v>
      </c>
      <c r="F5" s="297">
        <v>9270000</v>
      </c>
      <c r="G5" s="252"/>
      <c r="H5" s="253" t="s">
        <v>675</v>
      </c>
      <c r="I5" s="252">
        <v>9270000</v>
      </c>
      <c r="J5" s="252"/>
      <c r="K5" s="254">
        <f>F5-I5-J5</f>
        <v>0</v>
      </c>
      <c r="L5" s="252">
        <v>9270000</v>
      </c>
      <c r="M5" s="255">
        <f t="shared" ref="M5:M8" si="1">L5/I5</f>
        <v>1</v>
      </c>
      <c r="N5" s="254">
        <f>I5+J5-L5</f>
        <v>0</v>
      </c>
    </row>
    <row r="6" spans="1:21" x14ac:dyDescent="0.35">
      <c r="A6" s="298">
        <v>270000</v>
      </c>
      <c r="C6" s="912"/>
      <c r="D6" s="915"/>
      <c r="E6" s="251" t="s">
        <v>676</v>
      </c>
      <c r="F6" s="297">
        <v>2750000</v>
      </c>
      <c r="G6" s="252"/>
      <c r="H6" s="256" t="s">
        <v>675</v>
      </c>
      <c r="I6" s="252">
        <v>2750000</v>
      </c>
      <c r="J6" s="252"/>
      <c r="K6" s="257">
        <f t="shared" ref="K6:K16" si="2">F6-I6-J6</f>
        <v>0</v>
      </c>
      <c r="L6" s="252">
        <v>2750000</v>
      </c>
      <c r="M6" s="258">
        <f t="shared" si="1"/>
        <v>1</v>
      </c>
      <c r="N6" s="257">
        <f t="shared" ref="N6:N27" si="3">I6+J6-L6</f>
        <v>0</v>
      </c>
      <c r="P6" s="259"/>
      <c r="Q6" t="s">
        <v>682</v>
      </c>
      <c r="R6" s="312" t="s">
        <v>768</v>
      </c>
      <c r="S6" s="299">
        <v>1452114</v>
      </c>
      <c r="T6" s="300">
        <f t="shared" si="0"/>
        <v>150562.26436773295</v>
      </c>
      <c r="U6" s="301"/>
    </row>
    <row r="7" spans="1:21" x14ac:dyDescent="0.35">
      <c r="A7" s="298">
        <v>22290000</v>
      </c>
      <c r="C7" s="912"/>
      <c r="D7" s="916"/>
      <c r="E7" s="251" t="s">
        <v>677</v>
      </c>
      <c r="F7" s="297"/>
      <c r="G7" s="252">
        <v>2000000</v>
      </c>
      <c r="H7" s="256" t="s">
        <v>675</v>
      </c>
      <c r="I7" s="252">
        <v>2000000</v>
      </c>
      <c r="J7" s="252"/>
      <c r="K7" s="257">
        <f t="shared" si="2"/>
        <v>-2000000</v>
      </c>
      <c r="L7" s="252">
        <v>2000000</v>
      </c>
      <c r="M7" s="258">
        <f t="shared" si="1"/>
        <v>1</v>
      </c>
      <c r="N7" s="257">
        <f t="shared" si="3"/>
        <v>0</v>
      </c>
      <c r="R7" t="s">
        <v>769</v>
      </c>
      <c r="S7" s="271">
        <v>1494000</v>
      </c>
      <c r="T7" s="301">
        <f t="shared" si="0"/>
        <v>154905.20920905177</v>
      </c>
    </row>
    <row r="8" spans="1:21" x14ac:dyDescent="0.35">
      <c r="C8" s="912"/>
      <c r="D8" s="260" t="s">
        <v>678</v>
      </c>
      <c r="E8" s="251" t="s">
        <v>679</v>
      </c>
      <c r="F8" s="297">
        <v>1700000</v>
      </c>
      <c r="G8" s="252"/>
      <c r="H8" s="256" t="s">
        <v>680</v>
      </c>
      <c r="I8" s="252">
        <v>1500000</v>
      </c>
      <c r="J8" s="252"/>
      <c r="K8" s="257">
        <f t="shared" si="2"/>
        <v>200000</v>
      </c>
      <c r="L8" s="252">
        <v>1500000</v>
      </c>
      <c r="M8" s="258">
        <f t="shared" si="1"/>
        <v>1</v>
      </c>
      <c r="N8" s="257">
        <f t="shared" si="3"/>
        <v>0</v>
      </c>
    </row>
    <row r="9" spans="1:21" x14ac:dyDescent="0.35">
      <c r="C9" s="912"/>
      <c r="D9" s="260" t="s">
        <v>681</v>
      </c>
      <c r="E9" s="251" t="s">
        <v>770</v>
      </c>
      <c r="F9" s="252">
        <v>1600000</v>
      </c>
      <c r="G9" s="252"/>
      <c r="H9" s="256" t="s">
        <v>682</v>
      </c>
      <c r="I9" s="302">
        <v>1452114</v>
      </c>
      <c r="J9" s="252">
        <f>1466635.14-1452114</f>
        <v>14521.139999999898</v>
      </c>
      <c r="K9" s="257">
        <f t="shared" si="2"/>
        <v>133364.8600000001</v>
      </c>
      <c r="L9" s="257">
        <v>733116</v>
      </c>
      <c r="M9" s="258">
        <f>L9/I9</f>
        <v>0.50486118858436735</v>
      </c>
      <c r="N9" s="257">
        <f t="shared" si="3"/>
        <v>733519.1399999999</v>
      </c>
      <c r="P9" s="261"/>
      <c r="Q9" s="303" t="s">
        <v>691</v>
      </c>
      <c r="R9" s="312" t="s">
        <v>771</v>
      </c>
      <c r="S9" s="299">
        <v>394344</v>
      </c>
      <c r="T9" s="300">
        <f t="shared" si="0"/>
        <v>40887.509919902484</v>
      </c>
    </row>
    <row r="10" spans="1:21" x14ac:dyDescent="0.35">
      <c r="C10" s="913"/>
      <c r="D10" s="260" t="s">
        <v>681</v>
      </c>
      <c r="E10" s="251" t="s">
        <v>683</v>
      </c>
      <c r="F10" s="252">
        <f>'[6]PTBA 2016'!F50</f>
        <v>100000</v>
      </c>
      <c r="G10" s="252"/>
      <c r="H10" s="256"/>
      <c r="I10" s="262">
        <v>0</v>
      </c>
      <c r="J10" s="262"/>
      <c r="K10" s="257">
        <f t="shared" si="2"/>
        <v>100000</v>
      </c>
      <c r="L10" s="257"/>
      <c r="M10" s="263" t="s">
        <v>684</v>
      </c>
      <c r="N10" s="257">
        <f t="shared" si="3"/>
        <v>0</v>
      </c>
      <c r="R10" t="s">
        <v>772</v>
      </c>
      <c r="S10" s="271">
        <v>304800</v>
      </c>
      <c r="T10" s="301">
        <f t="shared" si="0"/>
        <v>31603.15111574229</v>
      </c>
    </row>
    <row r="11" spans="1:21" ht="7.5" customHeight="1" x14ac:dyDescent="0.35">
      <c r="F11" s="264"/>
      <c r="G11" s="264"/>
      <c r="H11" s="6"/>
      <c r="I11" s="264"/>
      <c r="J11" s="264"/>
      <c r="K11" s="6"/>
      <c r="L11" s="6"/>
      <c r="M11" s="265"/>
      <c r="N11" s="265"/>
      <c r="P11" s="261"/>
    </row>
    <row r="12" spans="1:21" x14ac:dyDescent="0.35">
      <c r="C12" s="925" t="s">
        <v>773</v>
      </c>
      <c r="D12" s="925"/>
      <c r="E12" s="925"/>
      <c r="F12" s="297">
        <v>6000000</v>
      </c>
      <c r="G12" s="252"/>
      <c r="H12" s="256" t="s">
        <v>685</v>
      </c>
      <c r="I12" s="302">
        <v>4881600</v>
      </c>
      <c r="J12" s="252">
        <f>4930416-4881600</f>
        <v>48816</v>
      </c>
      <c r="K12" s="257">
        <f t="shared" si="2"/>
        <v>1069584</v>
      </c>
      <c r="L12" s="257"/>
      <c r="M12" s="258">
        <f t="shared" ref="M12:M29" si="4">L12/I12</f>
        <v>0</v>
      </c>
      <c r="N12" s="257">
        <f t="shared" si="3"/>
        <v>4930416</v>
      </c>
    </row>
    <row r="13" spans="1:21" x14ac:dyDescent="0.35">
      <c r="C13" s="925" t="s">
        <v>774</v>
      </c>
      <c r="D13" s="925"/>
      <c r="E13" s="925"/>
      <c r="F13" s="297">
        <v>1800000</v>
      </c>
      <c r="G13" s="252"/>
      <c r="H13" s="256" t="s">
        <v>686</v>
      </c>
      <c r="I13" s="302">
        <v>960000</v>
      </c>
      <c r="J13" s="252">
        <f>969600-960000</f>
        <v>9600</v>
      </c>
      <c r="K13" s="257">
        <f t="shared" si="2"/>
        <v>830400</v>
      </c>
      <c r="L13" s="257"/>
      <c r="M13" s="258">
        <f t="shared" si="4"/>
        <v>0</v>
      </c>
      <c r="N13" s="257">
        <f t="shared" si="3"/>
        <v>969600</v>
      </c>
      <c r="P13" s="261"/>
      <c r="Q13" t="s">
        <v>775</v>
      </c>
      <c r="R13" t="s">
        <v>776</v>
      </c>
      <c r="S13" s="271">
        <v>9313920</v>
      </c>
      <c r="T13" s="301">
        <f t="shared" ref="T13:T15" si="5">S13/$I$1</f>
        <v>965712.66811002116</v>
      </c>
    </row>
    <row r="14" spans="1:21" x14ac:dyDescent="0.35">
      <c r="F14" s="264"/>
      <c r="G14" s="264"/>
      <c r="H14" s="6"/>
      <c r="I14" s="264"/>
      <c r="J14" s="264"/>
      <c r="K14" s="6"/>
      <c r="L14" s="6"/>
      <c r="M14" s="265"/>
      <c r="N14" s="6"/>
      <c r="P14" s="261"/>
      <c r="R14" s="312" t="s">
        <v>777</v>
      </c>
      <c r="S14" s="299">
        <v>4881600</v>
      </c>
      <c r="T14" s="300">
        <f t="shared" si="5"/>
        <v>506148.10527102218</v>
      </c>
    </row>
    <row r="15" spans="1:21" ht="15" customHeight="1" x14ac:dyDescent="0.35">
      <c r="C15" s="926" t="s">
        <v>687</v>
      </c>
      <c r="D15" s="911" t="s">
        <v>688</v>
      </c>
      <c r="E15" s="251" t="s">
        <v>778</v>
      </c>
      <c r="F15" s="297">
        <v>1040000</v>
      </c>
      <c r="G15" s="252"/>
      <c r="H15" s="256" t="s">
        <v>689</v>
      </c>
      <c r="I15" s="252">
        <v>1040000</v>
      </c>
      <c r="J15" s="252"/>
      <c r="K15" s="257">
        <f t="shared" si="2"/>
        <v>0</v>
      </c>
      <c r="L15" s="252">
        <v>1040000</v>
      </c>
      <c r="M15" s="258">
        <f t="shared" si="4"/>
        <v>1</v>
      </c>
      <c r="N15" s="257">
        <f t="shared" si="3"/>
        <v>0</v>
      </c>
      <c r="R15" t="s">
        <v>779</v>
      </c>
      <c r="S15" s="271">
        <v>4982400</v>
      </c>
      <c r="T15" s="301">
        <f t="shared" si="5"/>
        <v>516599.5410730787</v>
      </c>
    </row>
    <row r="16" spans="1:21" x14ac:dyDescent="0.35">
      <c r="C16" s="926"/>
      <c r="D16" s="912"/>
      <c r="E16" s="251" t="s">
        <v>780</v>
      </c>
      <c r="F16" s="266">
        <v>200000</v>
      </c>
      <c r="G16" s="266"/>
      <c r="H16" s="256" t="s">
        <v>690</v>
      </c>
      <c r="I16" s="302">
        <v>143340</v>
      </c>
      <c r="J16" s="252"/>
      <c r="K16" s="257">
        <f t="shared" si="2"/>
        <v>56660</v>
      </c>
      <c r="L16" s="252">
        <v>143340</v>
      </c>
      <c r="M16" s="258">
        <f t="shared" si="4"/>
        <v>1</v>
      </c>
      <c r="N16" s="257">
        <f t="shared" si="3"/>
        <v>0</v>
      </c>
    </row>
    <row r="17" spans="3:20" ht="15" customHeight="1" x14ac:dyDescent="0.35">
      <c r="C17" s="926"/>
      <c r="D17" s="912"/>
      <c r="E17" s="927" t="s">
        <v>781</v>
      </c>
      <c r="F17" s="939">
        <f>325000+45000</f>
        <v>370000</v>
      </c>
      <c r="G17" s="283"/>
      <c r="H17" s="256" t="s">
        <v>691</v>
      </c>
      <c r="I17" s="304">
        <v>223752</v>
      </c>
      <c r="J17" s="252"/>
      <c r="K17" s="931">
        <f>SUM(F17:F21)-SUM(I17:I21)-SUM(J17:J21)</f>
        <v>-22916.619999999995</v>
      </c>
      <c r="L17" s="252">
        <v>208089.32</v>
      </c>
      <c r="M17" s="258">
        <f t="shared" si="4"/>
        <v>0.92999982123064828</v>
      </c>
      <c r="N17" s="257">
        <f t="shared" si="3"/>
        <v>15662.679999999993</v>
      </c>
    </row>
    <row r="18" spans="3:20" x14ac:dyDescent="0.35">
      <c r="C18" s="926"/>
      <c r="D18" s="912"/>
      <c r="E18" s="928"/>
      <c r="F18" s="944"/>
      <c r="G18" s="285"/>
      <c r="H18" s="256" t="s">
        <v>692</v>
      </c>
      <c r="I18" s="302">
        <v>97800</v>
      </c>
      <c r="J18" s="252"/>
      <c r="K18" s="932"/>
      <c r="L18" s="252">
        <v>97800</v>
      </c>
      <c r="M18" s="258">
        <f t="shared" si="4"/>
        <v>1</v>
      </c>
      <c r="N18" s="257">
        <f t="shared" si="3"/>
        <v>0</v>
      </c>
      <c r="Q18" t="s">
        <v>782</v>
      </c>
      <c r="R18" t="s">
        <v>783</v>
      </c>
      <c r="S18" s="271">
        <v>840000</v>
      </c>
      <c r="T18" s="301">
        <f t="shared" ref="T18:T26" si="6">S18/$I$1</f>
        <v>87095.298350470883</v>
      </c>
    </row>
    <row r="19" spans="3:20" x14ac:dyDescent="0.35">
      <c r="C19" s="926"/>
      <c r="D19" s="912"/>
      <c r="E19" s="928"/>
      <c r="F19" s="940"/>
      <c r="G19" s="284"/>
      <c r="H19" s="256" t="s">
        <v>693</v>
      </c>
      <c r="I19" s="302">
        <v>22141.06</v>
      </c>
      <c r="J19" s="252"/>
      <c r="K19" s="932"/>
      <c r="L19" s="252">
        <v>22141.06</v>
      </c>
      <c r="M19" s="258">
        <f t="shared" si="4"/>
        <v>1</v>
      </c>
      <c r="N19" s="257">
        <f t="shared" si="3"/>
        <v>0</v>
      </c>
      <c r="P19" s="271"/>
      <c r="R19" t="s">
        <v>784</v>
      </c>
      <c r="S19" s="271">
        <v>1301520</v>
      </c>
      <c r="T19" s="301">
        <f t="shared" si="6"/>
        <v>134947.94370131532</v>
      </c>
    </row>
    <row r="20" spans="3:20" x14ac:dyDescent="0.35">
      <c r="C20" s="926"/>
      <c r="D20" s="912"/>
      <c r="E20" s="928"/>
      <c r="F20" s="284"/>
      <c r="G20" s="284">
        <v>22072.36</v>
      </c>
      <c r="H20" s="256" t="s">
        <v>694</v>
      </c>
      <c r="I20" s="305">
        <v>22072.36</v>
      </c>
      <c r="J20" s="272"/>
      <c r="K20" s="932"/>
      <c r="L20" s="252">
        <v>0</v>
      </c>
      <c r="M20" s="258">
        <f t="shared" si="4"/>
        <v>0</v>
      </c>
      <c r="N20" s="257">
        <f t="shared" si="3"/>
        <v>22072.36</v>
      </c>
      <c r="R20" t="s">
        <v>785</v>
      </c>
      <c r="S20" s="271">
        <v>1380000</v>
      </c>
      <c r="T20" s="301">
        <f t="shared" si="6"/>
        <v>143085.13300434503</v>
      </c>
    </row>
    <row r="21" spans="3:20" x14ac:dyDescent="0.35">
      <c r="C21" s="926"/>
      <c r="D21" s="912"/>
      <c r="E21" s="929"/>
      <c r="F21" s="284"/>
      <c r="G21" s="284">
        <v>27251.200000000001</v>
      </c>
      <c r="H21" s="256" t="s">
        <v>695</v>
      </c>
      <c r="I21" s="305">
        <v>27151.200000000001</v>
      </c>
      <c r="J21" s="272"/>
      <c r="K21" s="933"/>
      <c r="L21" s="306">
        <v>27151.200000000001</v>
      </c>
      <c r="M21" s="258">
        <f t="shared" si="4"/>
        <v>1</v>
      </c>
      <c r="N21" s="257">
        <f t="shared" si="3"/>
        <v>0</v>
      </c>
      <c r="R21" t="s">
        <v>786</v>
      </c>
      <c r="S21" s="271">
        <v>1164000</v>
      </c>
      <c r="T21" s="301">
        <f t="shared" si="6"/>
        <v>120689.19914279536</v>
      </c>
    </row>
    <row r="22" spans="3:20" x14ac:dyDescent="0.35">
      <c r="C22" s="926"/>
      <c r="D22" s="912"/>
      <c r="E22" s="251" t="s">
        <v>787</v>
      </c>
      <c r="F22" s="266">
        <v>151500</v>
      </c>
      <c r="G22" s="266"/>
      <c r="H22" s="253" t="s">
        <v>696</v>
      </c>
      <c r="I22" s="302">
        <v>143088</v>
      </c>
      <c r="J22" s="252"/>
      <c r="K22" s="254">
        <f t="shared" ref="K22:K25" si="7">F22-I22-J22</f>
        <v>8412</v>
      </c>
      <c r="L22" s="252">
        <v>143088</v>
      </c>
      <c r="M22" s="255">
        <f t="shared" si="4"/>
        <v>1</v>
      </c>
      <c r="N22" s="254">
        <f t="shared" si="3"/>
        <v>0</v>
      </c>
      <c r="R22" t="s">
        <v>788</v>
      </c>
      <c r="S22" s="271">
        <v>1197996</v>
      </c>
      <c r="T22" s="301">
        <f t="shared" si="6"/>
        <v>124214.07028889371</v>
      </c>
    </row>
    <row r="23" spans="3:20" ht="15" customHeight="1" x14ac:dyDescent="0.35">
      <c r="C23" s="926"/>
      <c r="D23" s="934" t="s">
        <v>697</v>
      </c>
      <c r="E23" s="251" t="s">
        <v>789</v>
      </c>
      <c r="F23" s="266">
        <v>100000</v>
      </c>
      <c r="G23" s="266"/>
      <c r="H23" s="253"/>
      <c r="I23" s="252">
        <v>87600</v>
      </c>
      <c r="J23" s="252"/>
      <c r="K23" s="254">
        <f t="shared" si="7"/>
        <v>12400</v>
      </c>
      <c r="L23" s="252">
        <v>87600</v>
      </c>
      <c r="M23" s="255">
        <f t="shared" si="4"/>
        <v>1</v>
      </c>
      <c r="N23" s="254">
        <f t="shared" si="3"/>
        <v>0</v>
      </c>
      <c r="R23" s="312" t="s">
        <v>776</v>
      </c>
      <c r="S23" s="299">
        <v>960000</v>
      </c>
      <c r="T23" s="300">
        <f t="shared" si="6"/>
        <v>99537.48382910958</v>
      </c>
    </row>
    <row r="24" spans="3:20" x14ac:dyDescent="0.35">
      <c r="C24" s="926"/>
      <c r="D24" s="935"/>
      <c r="E24" s="251" t="s">
        <v>790</v>
      </c>
      <c r="F24" s="266">
        <v>100000</v>
      </c>
      <c r="G24" s="266"/>
      <c r="H24" s="253" t="s">
        <v>698</v>
      </c>
      <c r="I24" s="302">
        <v>100000</v>
      </c>
      <c r="J24" s="252"/>
      <c r="K24" s="254">
        <f t="shared" si="7"/>
        <v>0</v>
      </c>
      <c r="L24" s="254">
        <v>100000</v>
      </c>
      <c r="M24" s="255">
        <f t="shared" si="4"/>
        <v>1</v>
      </c>
      <c r="N24" s="254">
        <f t="shared" si="3"/>
        <v>0</v>
      </c>
      <c r="R24" t="s">
        <v>791</v>
      </c>
      <c r="S24" s="271">
        <v>1149960</v>
      </c>
      <c r="T24" s="301">
        <f t="shared" si="6"/>
        <v>119233.46344179464</v>
      </c>
    </row>
    <row r="25" spans="3:20" x14ac:dyDescent="0.35">
      <c r="C25" s="926"/>
      <c r="D25" s="935"/>
      <c r="E25" s="251" t="s">
        <v>792</v>
      </c>
      <c r="F25" s="266">
        <v>100000</v>
      </c>
      <c r="G25" s="266"/>
      <c r="H25" s="253" t="s">
        <v>699</v>
      </c>
      <c r="I25" s="302">
        <v>100000</v>
      </c>
      <c r="J25" s="252"/>
      <c r="K25" s="254">
        <f t="shared" si="7"/>
        <v>0</v>
      </c>
      <c r="L25" s="254">
        <v>100000</v>
      </c>
      <c r="M25" s="255">
        <f t="shared" si="4"/>
        <v>1</v>
      </c>
      <c r="N25" s="254">
        <f t="shared" si="3"/>
        <v>0</v>
      </c>
      <c r="R25" t="s">
        <v>793</v>
      </c>
      <c r="S25" s="271">
        <v>1198740</v>
      </c>
      <c r="T25" s="301">
        <f t="shared" si="6"/>
        <v>124291.21183886126</v>
      </c>
    </row>
    <row r="26" spans="3:20" x14ac:dyDescent="0.35">
      <c r="C26" s="926"/>
      <c r="D26" s="935"/>
      <c r="E26" s="937" t="s">
        <v>794</v>
      </c>
      <c r="F26" s="939">
        <v>150000</v>
      </c>
      <c r="G26" s="266"/>
      <c r="H26" s="253" t="s">
        <v>700</v>
      </c>
      <c r="I26" s="302">
        <v>100100</v>
      </c>
      <c r="J26" s="252"/>
      <c r="K26" s="941">
        <f>SUM(F26)-SUM(I26:I27)-SUM(J26:J27)</f>
        <v>158</v>
      </c>
      <c r="L26" s="254">
        <v>100100</v>
      </c>
      <c r="M26" s="255">
        <f t="shared" si="4"/>
        <v>1</v>
      </c>
      <c r="N26" s="254">
        <f t="shared" si="3"/>
        <v>0</v>
      </c>
      <c r="R26" t="s">
        <v>795</v>
      </c>
      <c r="S26" s="271">
        <v>1152000</v>
      </c>
      <c r="T26" s="301">
        <f t="shared" si="6"/>
        <v>119444.98059493149</v>
      </c>
    </row>
    <row r="27" spans="3:20" x14ac:dyDescent="0.35">
      <c r="C27" s="926"/>
      <c r="D27" s="936"/>
      <c r="E27" s="938"/>
      <c r="F27" s="940"/>
      <c r="G27" s="266">
        <v>49742</v>
      </c>
      <c r="H27" s="253" t="s">
        <v>701</v>
      </c>
      <c r="I27" s="302">
        <v>49742</v>
      </c>
      <c r="J27" s="266"/>
      <c r="K27" s="942"/>
      <c r="L27" s="266">
        <v>0</v>
      </c>
      <c r="M27" s="255">
        <f t="shared" si="4"/>
        <v>0</v>
      </c>
      <c r="N27" s="254">
        <f t="shared" si="3"/>
        <v>49742</v>
      </c>
      <c r="S27" s="271"/>
      <c r="T27" s="301"/>
    </row>
    <row r="29" spans="3:20" x14ac:dyDescent="0.35">
      <c r="C29" s="943" t="s">
        <v>319</v>
      </c>
      <c r="D29" s="943"/>
      <c r="E29" s="943"/>
      <c r="F29" s="273">
        <f>SUM(F5:F28)</f>
        <v>25431500</v>
      </c>
      <c r="G29" s="273">
        <f>SUM(G5:G28)</f>
        <v>2099065.56</v>
      </c>
      <c r="H29" s="274" t="s">
        <v>702</v>
      </c>
      <c r="I29" s="273">
        <f>SUM(I5:I28)</f>
        <v>24970500.619999997</v>
      </c>
      <c r="J29" s="273">
        <f>SUM(J5:J28)</f>
        <v>72937.139999999898</v>
      </c>
      <c r="K29" s="275">
        <f>SUM(K5:K28)</f>
        <v>388062.24000000011</v>
      </c>
      <c r="L29" s="273">
        <f t="shared" ref="L29:N29" si="8">SUM(L5:L28)</f>
        <v>18322425.579999998</v>
      </c>
      <c r="M29" s="276">
        <f t="shared" si="4"/>
        <v>0.73376284515997026</v>
      </c>
      <c r="N29" s="273">
        <f t="shared" si="8"/>
        <v>6721012.1799999997</v>
      </c>
    </row>
    <row r="30" spans="3:20" ht="3.75" customHeight="1" x14ac:dyDescent="0.35"/>
    <row r="31" spans="3:20" x14ac:dyDescent="0.35">
      <c r="I31" s="307"/>
      <c r="J31" s="307"/>
      <c r="N31" s="308"/>
    </row>
    <row r="32" spans="3:20" x14ac:dyDescent="0.35">
      <c r="I32" s="930">
        <f>I29+J29</f>
        <v>25043437.759999998</v>
      </c>
      <c r="J32" s="930"/>
    </row>
    <row r="33" spans="14:24" x14ac:dyDescent="0.35">
      <c r="N33" s="308"/>
    </row>
    <row r="34" spans="14:24" x14ac:dyDescent="0.35">
      <c r="Q34" t="s">
        <v>796</v>
      </c>
      <c r="R34" t="s">
        <v>797</v>
      </c>
      <c r="S34" s="271">
        <v>32767.200000000001</v>
      </c>
      <c r="T34" s="301">
        <f>S34/$I$1</f>
        <v>3397.4631667970825</v>
      </c>
    </row>
    <row r="35" spans="14:24" x14ac:dyDescent="0.35">
      <c r="R35" t="s">
        <v>798</v>
      </c>
      <c r="S35" s="271">
        <v>28230</v>
      </c>
      <c r="T35" s="301">
        <f>S35/$I$1</f>
        <v>2927.0241338497535</v>
      </c>
    </row>
    <row r="36" spans="14:24" x14ac:dyDescent="0.35">
      <c r="R36" t="s">
        <v>799</v>
      </c>
      <c r="S36" s="309">
        <v>50712</v>
      </c>
      <c r="T36" s="310">
        <f>S36/$I$1</f>
        <v>5258.0675832727138</v>
      </c>
    </row>
    <row r="37" spans="14:24" x14ac:dyDescent="0.35">
      <c r="R37" s="312" t="s">
        <v>771</v>
      </c>
      <c r="S37" s="299">
        <v>27151</v>
      </c>
      <c r="T37" s="300">
        <f>S37/$I$1</f>
        <v>2815.1481494209938</v>
      </c>
    </row>
    <row r="40" spans="14:24" x14ac:dyDescent="0.35">
      <c r="Q40" t="s">
        <v>800</v>
      </c>
      <c r="R40" s="312" t="s">
        <v>797</v>
      </c>
      <c r="S40" s="299">
        <v>22072.36</v>
      </c>
      <c r="T40" s="300">
        <f>S40/$I$1</f>
        <v>2288.5699755940468</v>
      </c>
    </row>
    <row r="41" spans="14:24" x14ac:dyDescent="0.35">
      <c r="R41" t="s">
        <v>801</v>
      </c>
      <c r="S41" s="271">
        <v>24451.8</v>
      </c>
      <c r="T41" s="301">
        <f>S41/$I$1</f>
        <v>2535.2819240548142</v>
      </c>
    </row>
    <row r="42" spans="14:24" x14ac:dyDescent="0.35">
      <c r="R42" t="s">
        <v>802</v>
      </c>
      <c r="S42" s="309">
        <v>23016.6</v>
      </c>
      <c r="T42" s="310">
        <f>S42/$I$1</f>
        <v>2386.4733857302949</v>
      </c>
    </row>
    <row r="45" spans="14:24" x14ac:dyDescent="0.35">
      <c r="Q45" t="s">
        <v>803</v>
      </c>
      <c r="R45" t="s">
        <v>804</v>
      </c>
      <c r="S45" s="271">
        <v>144840</v>
      </c>
      <c r="T45" s="301">
        <f>S45/$I$1</f>
        <v>15017.717872716907</v>
      </c>
    </row>
    <row r="46" spans="14:24" x14ac:dyDescent="0.35">
      <c r="R46" t="s">
        <v>805</v>
      </c>
      <c r="S46" s="271">
        <v>148680</v>
      </c>
      <c r="T46" s="301">
        <f>S46/$I$1</f>
        <v>15415.867808033345</v>
      </c>
    </row>
    <row r="47" spans="14:24" x14ac:dyDescent="0.35">
      <c r="R47" s="312" t="s">
        <v>806</v>
      </c>
      <c r="S47" s="299">
        <v>143088</v>
      </c>
      <c r="T47" s="300">
        <f>S47/$I$1</f>
        <v>14836.061964728782</v>
      </c>
    </row>
    <row r="48" spans="14:24" x14ac:dyDescent="0.35">
      <c r="X48" s="271"/>
    </row>
    <row r="49" spans="17:24" x14ac:dyDescent="0.35">
      <c r="Q49" t="s">
        <v>807</v>
      </c>
      <c r="R49" t="s">
        <v>797</v>
      </c>
      <c r="S49" s="309">
        <v>265075.20000000001</v>
      </c>
      <c r="T49" s="301">
        <f t="shared" ref="T49:T55" si="9">S49/$I$1</f>
        <v>27484.290034893736</v>
      </c>
      <c r="V49" s="310">
        <v>169315.20000000001</v>
      </c>
      <c r="W49" s="311">
        <f>+V49+S49</f>
        <v>434390.4</v>
      </c>
      <c r="X49" s="271"/>
    </row>
    <row r="50" spans="17:24" x14ac:dyDescent="0.35">
      <c r="R50" t="s">
        <v>808</v>
      </c>
      <c r="S50" s="309">
        <v>219772.79999999999</v>
      </c>
      <c r="T50" s="301">
        <f t="shared" si="9"/>
        <v>22787.116172998056</v>
      </c>
      <c r="V50" s="310">
        <v>147028.79999999999</v>
      </c>
      <c r="W50" s="311">
        <f>+V50+S50</f>
        <v>366801.6</v>
      </c>
      <c r="X50" s="271"/>
    </row>
    <row r="51" spans="17:24" x14ac:dyDescent="0.35">
      <c r="R51" s="312" t="s">
        <v>809</v>
      </c>
      <c r="S51" s="299">
        <v>143340</v>
      </c>
      <c r="T51" s="300">
        <f t="shared" si="9"/>
        <v>14862.190554233923</v>
      </c>
      <c r="V51" s="310">
        <v>216780</v>
      </c>
      <c r="W51" s="311">
        <f>+V51+S51</f>
        <v>360120</v>
      </c>
    </row>
    <row r="52" spans="17:24" x14ac:dyDescent="0.35">
      <c r="R52" t="s">
        <v>810</v>
      </c>
      <c r="S52" s="309">
        <v>280674</v>
      </c>
      <c r="T52" s="301">
        <f t="shared" si="9"/>
        <v>29101.649725261981</v>
      </c>
      <c r="V52" s="310">
        <v>177024</v>
      </c>
      <c r="W52" s="311">
        <f>+V52+S52</f>
        <v>457698</v>
      </c>
    </row>
    <row r="54" spans="17:24" x14ac:dyDescent="0.35">
      <c r="Q54" t="s">
        <v>811</v>
      </c>
      <c r="R54" s="312" t="s">
        <v>812</v>
      </c>
      <c r="S54" s="300">
        <v>97800</v>
      </c>
      <c r="T54" s="300">
        <f t="shared" si="9"/>
        <v>10140.381165090537</v>
      </c>
      <c r="V54" s="309">
        <v>222000</v>
      </c>
      <c r="W54" s="311">
        <f>+V54+S54</f>
        <v>319800</v>
      </c>
    </row>
    <row r="55" spans="17:24" x14ac:dyDescent="0.35">
      <c r="R55" t="s">
        <v>810</v>
      </c>
      <c r="S55" s="310">
        <v>101460</v>
      </c>
      <c r="T55" s="301">
        <f t="shared" si="9"/>
        <v>10519.867822189019</v>
      </c>
      <c r="V55" s="309">
        <f>186400*1.2</f>
        <v>223680</v>
      </c>
      <c r="W55" s="311">
        <f>+V55+S55</f>
        <v>325140</v>
      </c>
    </row>
    <row r="56" spans="17:24" x14ac:dyDescent="0.35">
      <c r="R56" t="s">
        <v>771</v>
      </c>
      <c r="S56" s="310">
        <v>106800</v>
      </c>
      <c r="T56" s="301">
        <f>S56/$I$1</f>
        <v>11073.545075988441</v>
      </c>
      <c r="V56" s="309">
        <v>223800</v>
      </c>
      <c r="W56" s="311">
        <f>+V56+S56</f>
        <v>330600</v>
      </c>
    </row>
    <row r="58" spans="17:24" x14ac:dyDescent="0.35">
      <c r="S58" s="309"/>
      <c r="T58" s="301"/>
      <c r="W58" s="311"/>
    </row>
    <row r="59" spans="17:24" x14ac:dyDescent="0.35">
      <c r="Q59" t="s">
        <v>813</v>
      </c>
      <c r="R59" s="312" t="s">
        <v>797</v>
      </c>
      <c r="S59" s="299">
        <v>22141.06</v>
      </c>
      <c r="T59" s="300">
        <f>S59/$I$1</f>
        <v>2295.6931267805676</v>
      </c>
    </row>
    <row r="60" spans="17:24" x14ac:dyDescent="0.35">
      <c r="R60" t="s">
        <v>772</v>
      </c>
      <c r="S60" s="271">
        <v>23568</v>
      </c>
      <c r="T60" s="301">
        <f t="shared" ref="T60:T64" si="10">S60/$I$1</f>
        <v>2443.6452280046401</v>
      </c>
    </row>
    <row r="61" spans="17:24" x14ac:dyDescent="0.35">
      <c r="R61" t="s">
        <v>802</v>
      </c>
      <c r="S61" s="271">
        <v>22240.2</v>
      </c>
      <c r="T61" s="301">
        <f t="shared" si="10"/>
        <v>2305.9724456835029</v>
      </c>
    </row>
    <row r="62" spans="17:24" x14ac:dyDescent="0.35">
      <c r="R62" t="s">
        <v>814</v>
      </c>
      <c r="S62" s="271">
        <v>25843.200000000001</v>
      </c>
      <c r="T62" s="301">
        <f t="shared" si="10"/>
        <v>2679.5490646796297</v>
      </c>
    </row>
    <row r="63" spans="17:24" x14ac:dyDescent="0.35">
      <c r="R63" t="s">
        <v>771</v>
      </c>
      <c r="S63" s="271">
        <v>38419.019999999997</v>
      </c>
      <c r="T63" s="301">
        <f t="shared" si="10"/>
        <v>3983.471439562747</v>
      </c>
    </row>
    <row r="64" spans="17:24" x14ac:dyDescent="0.35">
      <c r="R64" t="s">
        <v>815</v>
      </c>
      <c r="S64" s="271">
        <v>25926</v>
      </c>
      <c r="T64" s="301">
        <f t="shared" si="10"/>
        <v>2688.1341726598903</v>
      </c>
    </row>
    <row r="66" spans="17:20" x14ac:dyDescent="0.35">
      <c r="Q66" t="s">
        <v>700</v>
      </c>
      <c r="R66" s="312" t="s">
        <v>816</v>
      </c>
      <c r="S66" s="299">
        <v>100100</v>
      </c>
      <c r="T66" s="300">
        <f>S66/$I$1</f>
        <v>10378.856386764446</v>
      </c>
    </row>
    <row r="67" spans="17:20" x14ac:dyDescent="0.35">
      <c r="R67" t="s">
        <v>772</v>
      </c>
      <c r="S67" s="271">
        <v>114906</v>
      </c>
      <c r="T67" s="301">
        <f t="shared" ref="T67:T68" si="11">S67/$I$1</f>
        <v>11914.014705070484</v>
      </c>
    </row>
    <row r="68" spans="17:20" x14ac:dyDescent="0.35">
      <c r="R68" t="s">
        <v>802</v>
      </c>
      <c r="S68" s="271">
        <v>123849</v>
      </c>
      <c r="T68" s="301">
        <f t="shared" si="11"/>
        <v>12841.268577866033</v>
      </c>
    </row>
    <row r="69" spans="17:20" x14ac:dyDescent="0.35">
      <c r="S69" s="271"/>
      <c r="T69" s="301"/>
    </row>
    <row r="70" spans="17:20" x14ac:dyDescent="0.35">
      <c r="Q70" t="s">
        <v>817</v>
      </c>
      <c r="R70" s="312" t="s">
        <v>816</v>
      </c>
      <c r="S70" s="299">
        <v>49742</v>
      </c>
      <c r="T70" s="300">
        <f>S70/$I$1</f>
        <v>5157.493250653717</v>
      </c>
    </row>
    <row r="71" spans="17:20" x14ac:dyDescent="0.35">
      <c r="R71" t="s">
        <v>818</v>
      </c>
      <c r="S71" s="271">
        <v>52283</v>
      </c>
      <c r="T71" s="301">
        <f t="shared" ref="T71:T72" si="12">S71/$I$1</f>
        <v>5420.9565281638916</v>
      </c>
    </row>
    <row r="72" spans="17:20" x14ac:dyDescent="0.35">
      <c r="R72" t="s">
        <v>819</v>
      </c>
      <c r="S72" s="271">
        <v>58674</v>
      </c>
      <c r="T72" s="301">
        <f t="shared" si="12"/>
        <v>6083.606589780391</v>
      </c>
    </row>
    <row r="74" spans="17:20" x14ac:dyDescent="0.35">
      <c r="Q74" t="s">
        <v>698</v>
      </c>
      <c r="R74" s="312" t="s">
        <v>707</v>
      </c>
      <c r="S74" s="299">
        <v>100000</v>
      </c>
      <c r="T74" s="300">
        <f t="shared" ref="T74:T75" si="13">S74/$I$1</f>
        <v>10368.48789886558</v>
      </c>
    </row>
    <row r="75" spans="17:20" x14ac:dyDescent="0.35">
      <c r="Q75" t="s">
        <v>699</v>
      </c>
      <c r="R75" s="312" t="s">
        <v>707</v>
      </c>
      <c r="S75" s="299">
        <v>100000</v>
      </c>
      <c r="T75" s="300">
        <f t="shared" si="13"/>
        <v>10368.48789886558</v>
      </c>
    </row>
  </sheetData>
  <mergeCells count="25">
    <mergeCell ref="I32:J32"/>
    <mergeCell ref="K17:K21"/>
    <mergeCell ref="D23:D27"/>
    <mergeCell ref="E26:E27"/>
    <mergeCell ref="F26:F27"/>
    <mergeCell ref="K26:K27"/>
    <mergeCell ref="C29:E29"/>
    <mergeCell ref="F17:F19"/>
    <mergeCell ref="C12:E12"/>
    <mergeCell ref="C13:E13"/>
    <mergeCell ref="C15:C27"/>
    <mergeCell ref="D15:D22"/>
    <mergeCell ref="E17:E21"/>
    <mergeCell ref="K3:K4"/>
    <mergeCell ref="L3:L4"/>
    <mergeCell ref="M3:M4"/>
    <mergeCell ref="N3:N4"/>
    <mergeCell ref="C5:C10"/>
    <mergeCell ref="D5:D7"/>
    <mergeCell ref="C3:D4"/>
    <mergeCell ref="E3:E4"/>
    <mergeCell ref="F3:F4"/>
    <mergeCell ref="G3:G4"/>
    <mergeCell ref="H3:H4"/>
    <mergeCell ref="I3:J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M68"/>
  <sheetViews>
    <sheetView tabSelected="1" topLeftCell="A39" workbookViewId="0">
      <selection activeCell="A47" sqref="A47"/>
    </sheetView>
  </sheetViews>
  <sheetFormatPr defaultColWidth="9.1796875" defaultRowHeight="14.5" x14ac:dyDescent="0.35"/>
  <cols>
    <col min="1" max="1" width="1.453125" customWidth="1"/>
    <col min="2" max="2" width="15.453125" customWidth="1"/>
    <col min="3" max="3" width="16" customWidth="1"/>
    <col min="4" max="4" width="25.453125" customWidth="1"/>
    <col min="5" max="5" width="26.54296875" customWidth="1"/>
    <col min="6" max="6" width="28.453125" customWidth="1"/>
    <col min="7" max="7" width="29.7265625" style="625" customWidth="1"/>
    <col min="8" max="8" width="29.1796875" style="558" customWidth="1"/>
    <col min="9" max="10" width="1.54296875" customWidth="1"/>
    <col min="13" max="13" width="12.453125" bestFit="1" customWidth="1"/>
  </cols>
  <sheetData>
    <row r="1" spans="2:9" ht="15" thickBot="1" x14ac:dyDescent="0.4">
      <c r="G1"/>
    </row>
    <row r="2" spans="2:9" ht="15" thickBot="1" x14ac:dyDescent="0.4">
      <c r="B2" s="33"/>
      <c r="C2" s="35"/>
      <c r="D2" s="34"/>
      <c r="E2" s="35"/>
      <c r="F2" s="35"/>
      <c r="G2" s="35"/>
      <c r="H2" s="579"/>
      <c r="I2" s="36"/>
    </row>
    <row r="3" spans="2:9" ht="15.75" customHeight="1" thickBot="1" x14ac:dyDescent="0.45">
      <c r="B3" s="86"/>
      <c r="C3" s="1251" t="s">
        <v>241</v>
      </c>
      <c r="D3" s="1252"/>
      <c r="E3" s="1252"/>
      <c r="F3" s="1252"/>
      <c r="G3" s="1252"/>
      <c r="H3" s="1253"/>
      <c r="I3" s="38"/>
    </row>
    <row r="4" spans="2:9" x14ac:dyDescent="0.35">
      <c r="B4" s="37"/>
      <c r="C4" s="40"/>
      <c r="D4" s="1261"/>
      <c r="E4" s="1261"/>
      <c r="F4" s="1261"/>
      <c r="G4" s="1261"/>
      <c r="H4" s="1261"/>
      <c r="I4" s="38"/>
    </row>
    <row r="5" spans="2:9" ht="30.75" customHeight="1" thickBot="1" x14ac:dyDescent="0.4">
      <c r="B5" s="37"/>
      <c r="C5" s="40"/>
      <c r="D5" s="1220" t="s">
        <v>242</v>
      </c>
      <c r="E5" s="1262"/>
      <c r="F5" s="1262"/>
      <c r="G5" s="53"/>
      <c r="H5" s="53"/>
      <c r="I5" s="38"/>
    </row>
    <row r="6" spans="2:9" ht="30" customHeight="1" thickBot="1" x14ac:dyDescent="0.4">
      <c r="B6" s="1268" t="s">
        <v>240</v>
      </c>
      <c r="C6" s="1269"/>
      <c r="D6" s="1270"/>
      <c r="E6" s="247" t="s">
        <v>239</v>
      </c>
      <c r="F6" s="94" t="s">
        <v>237</v>
      </c>
      <c r="G6" s="94" t="s">
        <v>269</v>
      </c>
      <c r="H6" s="580" t="s">
        <v>278</v>
      </c>
      <c r="I6" s="38"/>
    </row>
    <row r="7" spans="2:9" ht="58" thickBot="1" x14ac:dyDescent="0.4">
      <c r="B7" s="1265" t="s">
        <v>740</v>
      </c>
      <c r="C7" s="1266"/>
      <c r="D7" s="1267"/>
      <c r="E7" s="353" t="s">
        <v>721</v>
      </c>
      <c r="F7" s="353" t="s">
        <v>736</v>
      </c>
      <c r="G7" s="616">
        <v>0</v>
      </c>
      <c r="H7" s="581" t="s">
        <v>737</v>
      </c>
      <c r="I7" s="43"/>
    </row>
    <row r="8" spans="2:9" ht="36" customHeight="1" x14ac:dyDescent="0.35">
      <c r="B8" s="1258" t="s">
        <v>822</v>
      </c>
      <c r="C8" s="1258" t="s">
        <v>871</v>
      </c>
      <c r="D8" s="282" t="s">
        <v>898</v>
      </c>
      <c r="E8" s="282" t="s">
        <v>722</v>
      </c>
      <c r="F8" s="282" t="s">
        <v>738</v>
      </c>
      <c r="G8" s="617">
        <v>0</v>
      </c>
      <c r="H8" s="582" t="s">
        <v>739</v>
      </c>
      <c r="I8" s="43"/>
    </row>
    <row r="9" spans="2:9" ht="46" x14ac:dyDescent="0.35">
      <c r="B9" s="1263"/>
      <c r="C9" s="1259"/>
      <c r="D9" s="354" t="s">
        <v>899</v>
      </c>
      <c r="E9" s="354" t="s">
        <v>766</v>
      </c>
      <c r="F9" s="354" t="s">
        <v>741</v>
      </c>
      <c r="G9" s="618">
        <v>0</v>
      </c>
      <c r="H9" s="583" t="s">
        <v>742</v>
      </c>
      <c r="I9" s="43"/>
    </row>
    <row r="10" spans="2:9" ht="34.5" x14ac:dyDescent="0.35">
      <c r="B10" s="1263"/>
      <c r="C10" s="1259"/>
      <c r="D10" s="281" t="s">
        <v>900</v>
      </c>
      <c r="E10" s="281" t="s">
        <v>901</v>
      </c>
      <c r="F10" s="281" t="s">
        <v>902</v>
      </c>
      <c r="G10" s="867" t="s">
        <v>1289</v>
      </c>
      <c r="H10" s="584" t="s">
        <v>876</v>
      </c>
      <c r="I10" s="43"/>
    </row>
    <row r="11" spans="2:9" ht="23" x14ac:dyDescent="0.35">
      <c r="B11" s="1263"/>
      <c r="C11" s="1259"/>
      <c r="D11" s="281" t="s">
        <v>903</v>
      </c>
      <c r="E11" s="281" t="s">
        <v>904</v>
      </c>
      <c r="F11" s="281" t="s">
        <v>905</v>
      </c>
      <c r="G11" s="867" t="s">
        <v>1290</v>
      </c>
      <c r="H11" s="584" t="s">
        <v>877</v>
      </c>
      <c r="I11" s="43"/>
    </row>
    <row r="12" spans="2:9" ht="69" x14ac:dyDescent="0.35">
      <c r="B12" s="1263"/>
      <c r="C12" s="1259"/>
      <c r="D12" s="281" t="s">
        <v>906</v>
      </c>
      <c r="E12" s="281" t="s">
        <v>907</v>
      </c>
      <c r="F12" s="281" t="s">
        <v>908</v>
      </c>
      <c r="G12" s="619" t="s">
        <v>1291</v>
      </c>
      <c r="H12" s="584" t="s">
        <v>878</v>
      </c>
      <c r="I12" s="43"/>
    </row>
    <row r="13" spans="2:9" ht="46" x14ac:dyDescent="0.35">
      <c r="B13" s="1263"/>
      <c r="C13" s="1259"/>
      <c r="D13" s="354" t="s">
        <v>909</v>
      </c>
      <c r="E13" s="354" t="s">
        <v>723</v>
      </c>
      <c r="F13" s="354" t="s">
        <v>743</v>
      </c>
      <c r="G13" s="583" t="s">
        <v>1192</v>
      </c>
      <c r="H13" s="583" t="s">
        <v>744</v>
      </c>
      <c r="I13" s="43"/>
    </row>
    <row r="14" spans="2:9" ht="46" x14ac:dyDescent="0.35">
      <c r="B14" s="1263"/>
      <c r="C14" s="1259"/>
      <c r="D14" s="281" t="s">
        <v>910</v>
      </c>
      <c r="E14" s="281" t="s">
        <v>911</v>
      </c>
      <c r="F14" s="281" t="s">
        <v>912</v>
      </c>
      <c r="G14" s="619" t="s">
        <v>1292</v>
      </c>
      <c r="H14" s="584" t="s">
        <v>879</v>
      </c>
      <c r="I14" s="43"/>
    </row>
    <row r="15" spans="2:9" ht="25" customHeight="1" thickBot="1" x14ac:dyDescent="0.4">
      <c r="B15" s="1264"/>
      <c r="C15" s="1260"/>
      <c r="D15" s="281" t="s">
        <v>913</v>
      </c>
      <c r="E15" s="281" t="s">
        <v>911</v>
      </c>
      <c r="F15" s="281" t="s">
        <v>914</v>
      </c>
      <c r="G15" s="619" t="s">
        <v>1293</v>
      </c>
      <c r="H15" s="584" t="s">
        <v>879</v>
      </c>
      <c r="I15" s="43"/>
    </row>
    <row r="16" spans="2:9" ht="57.5" x14ac:dyDescent="0.35">
      <c r="B16" s="1258" t="s">
        <v>824</v>
      </c>
      <c r="C16" s="1258" t="s">
        <v>872</v>
      </c>
      <c r="D16" s="282" t="s">
        <v>915</v>
      </c>
      <c r="E16" s="282" t="s">
        <v>724</v>
      </c>
      <c r="F16" s="282" t="s">
        <v>745</v>
      </c>
      <c r="G16" s="617">
        <v>0</v>
      </c>
      <c r="H16" s="582" t="s">
        <v>746</v>
      </c>
      <c r="I16" s="43"/>
    </row>
    <row r="17" spans="2:13" ht="34.5" x14ac:dyDescent="0.35">
      <c r="B17" s="1259"/>
      <c r="C17" s="1259"/>
      <c r="D17" s="354" t="s">
        <v>916</v>
      </c>
      <c r="E17" s="354" t="s">
        <v>725</v>
      </c>
      <c r="F17" s="354" t="s">
        <v>747</v>
      </c>
      <c r="G17" s="618">
        <v>0</v>
      </c>
      <c r="H17" s="583" t="s">
        <v>748</v>
      </c>
      <c r="I17" s="43"/>
    </row>
    <row r="18" spans="2:13" ht="46" x14ac:dyDescent="0.35">
      <c r="B18" s="1259"/>
      <c r="C18" s="1259"/>
      <c r="D18" s="281" t="s">
        <v>917</v>
      </c>
      <c r="E18" s="281" t="s">
        <v>918</v>
      </c>
      <c r="F18" s="281" t="s">
        <v>919</v>
      </c>
      <c r="G18" s="621" t="s">
        <v>1294</v>
      </c>
      <c r="H18" s="584" t="s">
        <v>880</v>
      </c>
      <c r="I18" s="43"/>
    </row>
    <row r="19" spans="2:13" ht="98.15" customHeight="1" x14ac:dyDescent="0.35">
      <c r="B19" s="1259"/>
      <c r="C19" s="1259"/>
      <c r="D19" s="281" t="s">
        <v>920</v>
      </c>
      <c r="E19" s="281" t="s">
        <v>921</v>
      </c>
      <c r="F19" s="281" t="s">
        <v>922</v>
      </c>
      <c r="G19" s="624" t="s">
        <v>1295</v>
      </c>
      <c r="H19" s="585">
        <v>4</v>
      </c>
      <c r="I19" s="43"/>
    </row>
    <row r="20" spans="2:13" ht="34.5" x14ac:dyDescent="0.35">
      <c r="B20" s="1259"/>
      <c r="C20" s="1259"/>
      <c r="D20" s="354" t="s">
        <v>923</v>
      </c>
      <c r="E20" s="354" t="s">
        <v>726</v>
      </c>
      <c r="F20" s="354" t="s">
        <v>749</v>
      </c>
      <c r="G20" s="620" t="s">
        <v>1193</v>
      </c>
      <c r="H20" s="583" t="s">
        <v>750</v>
      </c>
      <c r="I20" s="43"/>
    </row>
    <row r="21" spans="2:13" ht="126.5" x14ac:dyDescent="0.35">
      <c r="B21" s="1259"/>
      <c r="C21" s="1259"/>
      <c r="D21" s="281" t="s">
        <v>924</v>
      </c>
      <c r="E21" s="281" t="s">
        <v>925</v>
      </c>
      <c r="F21" s="281" t="s">
        <v>926</v>
      </c>
      <c r="G21" s="868" t="s">
        <v>1296</v>
      </c>
      <c r="H21" s="584" t="s">
        <v>881</v>
      </c>
      <c r="I21" s="43"/>
    </row>
    <row r="22" spans="2:13" ht="94" customHeight="1" thickBot="1" x14ac:dyDescent="0.4">
      <c r="B22" s="1260"/>
      <c r="C22" s="1260"/>
      <c r="D22" s="281" t="s">
        <v>927</v>
      </c>
      <c r="E22" s="281" t="s">
        <v>928</v>
      </c>
      <c r="F22" s="281" t="s">
        <v>929</v>
      </c>
      <c r="G22" s="868" t="s">
        <v>1322</v>
      </c>
      <c r="H22" s="586" t="s">
        <v>882</v>
      </c>
      <c r="I22" s="43"/>
    </row>
    <row r="23" spans="2:13" ht="34.5" x14ac:dyDescent="0.35">
      <c r="B23" s="1258" t="s">
        <v>823</v>
      </c>
      <c r="C23" s="1258" t="s">
        <v>873</v>
      </c>
      <c r="D23" s="282" t="s">
        <v>930</v>
      </c>
      <c r="E23" s="282" t="s">
        <v>727</v>
      </c>
      <c r="F23" s="282" t="s">
        <v>751</v>
      </c>
      <c r="G23" s="282"/>
      <c r="H23" s="582" t="s">
        <v>752</v>
      </c>
      <c r="I23" s="43"/>
      <c r="M23" s="298"/>
    </row>
    <row r="24" spans="2:13" ht="34.5" x14ac:dyDescent="0.35">
      <c r="B24" s="1259"/>
      <c r="C24" s="1259"/>
      <c r="D24" s="281" t="s">
        <v>931</v>
      </c>
      <c r="E24" s="281" t="s">
        <v>728</v>
      </c>
      <c r="F24" s="281" t="s">
        <v>753</v>
      </c>
      <c r="G24" s="622" t="s">
        <v>1314</v>
      </c>
      <c r="H24" s="584" t="s">
        <v>754</v>
      </c>
      <c r="I24" s="43"/>
    </row>
    <row r="25" spans="2:13" ht="46" x14ac:dyDescent="0.35">
      <c r="B25" s="1259"/>
      <c r="C25" s="1259"/>
      <c r="D25" s="281" t="s">
        <v>932</v>
      </c>
      <c r="E25" s="281" t="s">
        <v>933</v>
      </c>
      <c r="F25" s="281" t="s">
        <v>934</v>
      </c>
      <c r="G25" s="872" t="s">
        <v>1297</v>
      </c>
      <c r="H25" s="584" t="s">
        <v>883</v>
      </c>
      <c r="I25" s="43"/>
    </row>
    <row r="26" spans="2:13" ht="112" customHeight="1" x14ac:dyDescent="0.35">
      <c r="B26" s="1259"/>
      <c r="C26" s="1259"/>
      <c r="D26" s="281" t="s">
        <v>935</v>
      </c>
      <c r="E26" s="281" t="s">
        <v>936</v>
      </c>
      <c r="F26" s="281" t="s">
        <v>937</v>
      </c>
      <c r="G26" s="871" t="s">
        <v>1298</v>
      </c>
      <c r="H26" s="584" t="s">
        <v>884</v>
      </c>
      <c r="I26" s="43"/>
    </row>
    <row r="27" spans="2:13" ht="46" x14ac:dyDescent="0.35">
      <c r="B27" s="1259"/>
      <c r="C27" s="1259"/>
      <c r="D27" s="354" t="s">
        <v>938</v>
      </c>
      <c r="E27" s="354" t="s">
        <v>729</v>
      </c>
      <c r="F27" s="354" t="s">
        <v>755</v>
      </c>
      <c r="G27" s="354"/>
      <c r="H27" s="583" t="s">
        <v>756</v>
      </c>
      <c r="I27" s="43"/>
    </row>
    <row r="28" spans="2:13" ht="57.5" x14ac:dyDescent="0.35">
      <c r="B28" s="1259"/>
      <c r="C28" s="1259"/>
      <c r="D28" s="281" t="s">
        <v>939</v>
      </c>
      <c r="E28" s="281" t="s">
        <v>940</v>
      </c>
      <c r="F28" s="281" t="s">
        <v>941</v>
      </c>
      <c r="G28" s="870" t="s">
        <v>1300</v>
      </c>
      <c r="H28" s="584" t="s">
        <v>885</v>
      </c>
      <c r="I28" s="43"/>
    </row>
    <row r="29" spans="2:13" ht="69.5" thickBot="1" x14ac:dyDescent="0.4">
      <c r="B29" s="1260"/>
      <c r="C29" s="1260"/>
      <c r="D29" s="281" t="s">
        <v>942</v>
      </c>
      <c r="E29" s="281" t="s">
        <v>943</v>
      </c>
      <c r="F29" s="281" t="s">
        <v>944</v>
      </c>
      <c r="G29" s="870" t="s">
        <v>1299</v>
      </c>
      <c r="H29" s="584" t="s">
        <v>886</v>
      </c>
      <c r="I29" s="43"/>
    </row>
    <row r="30" spans="2:13" ht="46" x14ac:dyDescent="0.35">
      <c r="B30" s="1258" t="s">
        <v>348</v>
      </c>
      <c r="C30" s="1258" t="s">
        <v>874</v>
      </c>
      <c r="D30" s="282" t="s">
        <v>945</v>
      </c>
      <c r="E30" s="282" t="s">
        <v>730</v>
      </c>
      <c r="F30" s="282" t="s">
        <v>757</v>
      </c>
      <c r="G30" s="617">
        <v>0</v>
      </c>
      <c r="H30" s="582" t="s">
        <v>758</v>
      </c>
      <c r="I30" s="43"/>
    </row>
    <row r="31" spans="2:13" ht="34.5" x14ac:dyDescent="0.35">
      <c r="B31" s="1259"/>
      <c r="C31" s="1259"/>
      <c r="D31" s="354" t="s">
        <v>946</v>
      </c>
      <c r="E31" s="354" t="s">
        <v>731</v>
      </c>
      <c r="F31" s="354" t="s">
        <v>759</v>
      </c>
      <c r="G31" s="618">
        <v>0</v>
      </c>
      <c r="H31" s="583" t="s">
        <v>760</v>
      </c>
      <c r="I31" s="43"/>
    </row>
    <row r="32" spans="2:13" ht="34.5" x14ac:dyDescent="0.35">
      <c r="B32" s="1259"/>
      <c r="C32" s="1259"/>
      <c r="D32" s="281" t="s">
        <v>947</v>
      </c>
      <c r="E32" s="281" t="s">
        <v>948</v>
      </c>
      <c r="F32" s="281" t="s">
        <v>949</v>
      </c>
      <c r="G32" s="624" t="s">
        <v>1301</v>
      </c>
      <c r="H32" s="586" t="s">
        <v>887</v>
      </c>
      <c r="I32" s="43"/>
    </row>
    <row r="33" spans="2:9" ht="235" customHeight="1" x14ac:dyDescent="0.35">
      <c r="B33" s="1259"/>
      <c r="C33" s="1259"/>
      <c r="D33" s="281" t="s">
        <v>950</v>
      </c>
      <c r="E33" s="281" t="s">
        <v>951</v>
      </c>
      <c r="F33" s="281" t="s">
        <v>952</v>
      </c>
      <c r="G33" s="870" t="s">
        <v>1302</v>
      </c>
      <c r="H33" s="584" t="s">
        <v>888</v>
      </c>
      <c r="I33" s="43"/>
    </row>
    <row r="34" spans="2:9" ht="34.5" x14ac:dyDescent="0.35">
      <c r="B34" s="1259"/>
      <c r="C34" s="1259"/>
      <c r="D34" s="354" t="s">
        <v>953</v>
      </c>
      <c r="E34" s="354" t="s">
        <v>732</v>
      </c>
      <c r="F34" s="354" t="s">
        <v>761</v>
      </c>
      <c r="G34" s="618">
        <v>0</v>
      </c>
      <c r="H34" s="583" t="s">
        <v>762</v>
      </c>
      <c r="I34" s="43"/>
    </row>
    <row r="35" spans="2:9" ht="34.5" x14ac:dyDescent="0.35">
      <c r="B35" s="1259"/>
      <c r="C35" s="1259"/>
      <c r="D35" s="281" t="s">
        <v>954</v>
      </c>
      <c r="E35" s="281" t="s">
        <v>955</v>
      </c>
      <c r="F35" s="281" t="s">
        <v>956</v>
      </c>
      <c r="G35" s="624" t="s">
        <v>1303</v>
      </c>
      <c r="H35" s="584" t="s">
        <v>889</v>
      </c>
      <c r="I35" s="43"/>
    </row>
    <row r="36" spans="2:9" ht="69.5" thickBot="1" x14ac:dyDescent="0.4">
      <c r="B36" s="1260"/>
      <c r="C36" s="1260"/>
      <c r="D36" s="281" t="s">
        <v>957</v>
      </c>
      <c r="E36" s="281" t="s">
        <v>958</v>
      </c>
      <c r="F36" s="281" t="s">
        <v>959</v>
      </c>
      <c r="G36" s="624" t="s">
        <v>1304</v>
      </c>
      <c r="H36" s="584" t="s">
        <v>890</v>
      </c>
      <c r="I36" s="43"/>
    </row>
    <row r="37" spans="2:9" ht="46" x14ac:dyDescent="0.35">
      <c r="B37" s="1258" t="s">
        <v>820</v>
      </c>
      <c r="C37" s="1258" t="s">
        <v>875</v>
      </c>
      <c r="D37" s="282" t="s">
        <v>960</v>
      </c>
      <c r="E37" s="282" t="s">
        <v>733</v>
      </c>
      <c r="F37" s="282" t="s">
        <v>763</v>
      </c>
      <c r="G37" s="587" t="s">
        <v>1042</v>
      </c>
      <c r="H37" s="587" t="s">
        <v>891</v>
      </c>
      <c r="I37" s="43"/>
    </row>
    <row r="38" spans="2:9" ht="34.5" x14ac:dyDescent="0.35">
      <c r="B38" s="1259"/>
      <c r="C38" s="1259"/>
      <c r="D38" s="354" t="s">
        <v>961</v>
      </c>
      <c r="E38" s="354" t="s">
        <v>734</v>
      </c>
      <c r="F38" s="354" t="s">
        <v>764</v>
      </c>
      <c r="G38" s="620" t="s">
        <v>1305</v>
      </c>
      <c r="H38" s="583" t="s">
        <v>892</v>
      </c>
      <c r="I38" s="43"/>
    </row>
    <row r="39" spans="2:9" ht="69" x14ac:dyDescent="0.35">
      <c r="B39" s="1259"/>
      <c r="C39" s="1259"/>
      <c r="D39" s="281" t="s">
        <v>962</v>
      </c>
      <c r="E39" s="281" t="s">
        <v>963</v>
      </c>
      <c r="F39" s="281" t="s">
        <v>964</v>
      </c>
      <c r="G39" s="623" t="s">
        <v>1307</v>
      </c>
      <c r="H39" s="586" t="s">
        <v>893</v>
      </c>
      <c r="I39" s="43"/>
    </row>
    <row r="40" spans="2:9" ht="57.5" x14ac:dyDescent="0.35">
      <c r="B40" s="1259"/>
      <c r="C40" s="1259"/>
      <c r="D40" s="281" t="s">
        <v>965</v>
      </c>
      <c r="E40" s="281" t="s">
        <v>966</v>
      </c>
      <c r="F40" s="281" t="s">
        <v>967</v>
      </c>
      <c r="G40" s="869" t="s">
        <v>1306</v>
      </c>
      <c r="H40" s="586" t="s">
        <v>894</v>
      </c>
      <c r="I40" s="43"/>
    </row>
    <row r="41" spans="2:9" ht="46" x14ac:dyDescent="0.35">
      <c r="B41" s="1259"/>
      <c r="C41" s="1259"/>
      <c r="D41" s="354" t="s">
        <v>968</v>
      </c>
      <c r="E41" s="354" t="s">
        <v>735</v>
      </c>
      <c r="F41" s="354" t="s">
        <v>765</v>
      </c>
      <c r="G41" s="620" t="s">
        <v>1308</v>
      </c>
      <c r="H41" s="583" t="s">
        <v>895</v>
      </c>
      <c r="I41" s="43"/>
    </row>
    <row r="42" spans="2:9" ht="46" x14ac:dyDescent="0.35">
      <c r="B42" s="1259"/>
      <c r="C42" s="1259"/>
      <c r="D42" s="281" t="s">
        <v>969</v>
      </c>
      <c r="E42" s="281" t="s">
        <v>970</v>
      </c>
      <c r="F42" s="281" t="s">
        <v>971</v>
      </c>
      <c r="G42" s="281" t="s">
        <v>1203</v>
      </c>
      <c r="H42" s="586" t="s">
        <v>896</v>
      </c>
      <c r="I42" s="43"/>
    </row>
    <row r="43" spans="2:9" ht="58" thickBot="1" x14ac:dyDescent="0.4">
      <c r="B43" s="1260"/>
      <c r="C43" s="1260"/>
      <c r="D43" s="355" t="s">
        <v>972</v>
      </c>
      <c r="E43" s="355" t="s">
        <v>973</v>
      </c>
      <c r="F43" s="355" t="s">
        <v>974</v>
      </c>
      <c r="G43" s="355" t="s">
        <v>1202</v>
      </c>
      <c r="H43" s="588" t="s">
        <v>897</v>
      </c>
      <c r="I43" s="43"/>
    </row>
    <row r="44" spans="2:9" ht="15" thickBot="1" x14ac:dyDescent="0.4">
      <c r="B44" s="356"/>
      <c r="C44" s="357"/>
      <c r="D44" s="357"/>
      <c r="E44" s="357"/>
      <c r="F44" s="357"/>
      <c r="G44" s="357"/>
      <c r="H44" s="589"/>
      <c r="I44" s="358"/>
    </row>
    <row r="45" spans="2:9" x14ac:dyDescent="0.35">
      <c r="G45" s="6"/>
    </row>
    <row r="46" spans="2:9" x14ac:dyDescent="0.35">
      <c r="G46" s="6"/>
    </row>
    <row r="47" spans="2:9" x14ac:dyDescent="0.35">
      <c r="G47" s="6"/>
    </row>
    <row r="48" spans="2:9" x14ac:dyDescent="0.35">
      <c r="G48" s="6"/>
    </row>
    <row r="49" spans="7:7" x14ac:dyDescent="0.35">
      <c r="G49" s="6"/>
    </row>
    <row r="50" spans="7:7" x14ac:dyDescent="0.35">
      <c r="G50" s="6"/>
    </row>
    <row r="51" spans="7:7" x14ac:dyDescent="0.35">
      <c r="G51" s="6"/>
    </row>
    <row r="52" spans="7:7" x14ac:dyDescent="0.35">
      <c r="G52" s="6"/>
    </row>
    <row r="53" spans="7:7" x14ac:dyDescent="0.35">
      <c r="G53" s="6"/>
    </row>
    <row r="54" spans="7:7" x14ac:dyDescent="0.35">
      <c r="G54" s="6"/>
    </row>
    <row r="55" spans="7:7" x14ac:dyDescent="0.35">
      <c r="G55" s="6"/>
    </row>
    <row r="56" spans="7:7" x14ac:dyDescent="0.35">
      <c r="G56" s="6"/>
    </row>
    <row r="57" spans="7:7" x14ac:dyDescent="0.35">
      <c r="G57" s="6"/>
    </row>
    <row r="58" spans="7:7" x14ac:dyDescent="0.35">
      <c r="G58" s="6"/>
    </row>
    <row r="59" spans="7:7" x14ac:dyDescent="0.35">
      <c r="G59" s="6"/>
    </row>
    <row r="60" spans="7:7" x14ac:dyDescent="0.35">
      <c r="G60" s="6"/>
    </row>
    <row r="61" spans="7:7" x14ac:dyDescent="0.35">
      <c r="G61" s="6"/>
    </row>
    <row r="62" spans="7:7" x14ac:dyDescent="0.35">
      <c r="G62" s="6"/>
    </row>
    <row r="63" spans="7:7" x14ac:dyDescent="0.35">
      <c r="G63" s="6"/>
    </row>
    <row r="64" spans="7:7" x14ac:dyDescent="0.35">
      <c r="G64" s="6"/>
    </row>
    <row r="65" spans="7:7" x14ac:dyDescent="0.35">
      <c r="G65" s="6"/>
    </row>
    <row r="66" spans="7:7" x14ac:dyDescent="0.35">
      <c r="G66" s="6"/>
    </row>
    <row r="67" spans="7:7" x14ac:dyDescent="0.35">
      <c r="G67" s="6"/>
    </row>
    <row r="68" spans="7:7" x14ac:dyDescent="0.35">
      <c r="G68" s="6"/>
    </row>
  </sheetData>
  <mergeCells count="15">
    <mergeCell ref="C37:C43"/>
    <mergeCell ref="B37:B43"/>
    <mergeCell ref="C3:H3"/>
    <mergeCell ref="C16:C22"/>
    <mergeCell ref="B16:B22"/>
    <mergeCell ref="C23:C29"/>
    <mergeCell ref="B23:B29"/>
    <mergeCell ref="C30:C36"/>
    <mergeCell ref="B30:B36"/>
    <mergeCell ref="D4:H4"/>
    <mergeCell ref="D5:F5"/>
    <mergeCell ref="C8:C15"/>
    <mergeCell ref="B8:B15"/>
    <mergeCell ref="B7:D7"/>
    <mergeCell ref="B6:D6"/>
  </mergeCells>
  <pageMargins left="0.25" right="0.25" top="0.17" bottom="0.17" header="0.17" footer="0.17"/>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G60"/>
  <sheetViews>
    <sheetView topLeftCell="A13" workbookViewId="0">
      <selection activeCell="E16" sqref="E16:F16"/>
    </sheetView>
  </sheetViews>
  <sheetFormatPr defaultColWidth="9.1796875" defaultRowHeight="14.5" x14ac:dyDescent="0.35"/>
  <cols>
    <col min="1" max="2" width="1.81640625" customWidth="1"/>
    <col min="3" max="3" width="35.81640625" customWidth="1"/>
    <col min="4" max="4" width="26.1796875" customWidth="1"/>
    <col min="5" max="5" width="22.81640625" customWidth="1"/>
    <col min="6" max="6" width="25" customWidth="1"/>
    <col min="7" max="7" width="2" customWidth="1"/>
    <col min="8" max="8" width="1.54296875" customWidth="1"/>
  </cols>
  <sheetData>
    <row r="1" spans="2:7" ht="15" thickBot="1" x14ac:dyDescent="0.4"/>
    <row r="2" spans="2:7" ht="15" thickBot="1" x14ac:dyDescent="0.4">
      <c r="B2" s="83"/>
      <c r="C2" s="84"/>
      <c r="D2" s="84"/>
      <c r="E2" s="84"/>
      <c r="F2" s="84"/>
      <c r="G2" s="85"/>
    </row>
    <row r="3" spans="2:7" ht="20.5" thickBot="1" x14ac:dyDescent="0.45">
      <c r="B3" s="86"/>
      <c r="C3" s="1251" t="s">
        <v>220</v>
      </c>
      <c r="D3" s="1252"/>
      <c r="E3" s="1252"/>
      <c r="F3" s="1253"/>
      <c r="G3" s="51"/>
    </row>
    <row r="4" spans="2:7" x14ac:dyDescent="0.35">
      <c r="B4" s="1254"/>
      <c r="C4" s="1255"/>
      <c r="D4" s="1255"/>
      <c r="E4" s="1255"/>
      <c r="F4" s="1255"/>
      <c r="G4" s="51"/>
    </row>
    <row r="5" spans="2:7" x14ac:dyDescent="0.35">
      <c r="B5" s="52"/>
      <c r="C5" s="1292"/>
      <c r="D5" s="1292"/>
      <c r="E5" s="1292"/>
      <c r="F5" s="1292"/>
      <c r="G5" s="51"/>
    </row>
    <row r="6" spans="2:7" x14ac:dyDescent="0.35">
      <c r="B6" s="52"/>
      <c r="C6" s="53"/>
      <c r="D6" s="54"/>
      <c r="E6" s="53"/>
      <c r="F6" s="54"/>
      <c r="G6" s="51"/>
    </row>
    <row r="7" spans="2:7" x14ac:dyDescent="0.35">
      <c r="B7" s="52"/>
      <c r="C7" s="1256" t="s">
        <v>231</v>
      </c>
      <c r="D7" s="1256"/>
      <c r="E7" s="55"/>
      <c r="F7" s="54"/>
      <c r="G7" s="51"/>
    </row>
    <row r="8" spans="2:7" ht="15" thickBot="1" x14ac:dyDescent="0.4">
      <c r="B8" s="52"/>
      <c r="C8" s="1280" t="s">
        <v>289</v>
      </c>
      <c r="D8" s="1280"/>
      <c r="E8" s="1280"/>
      <c r="F8" s="1280"/>
      <c r="G8" s="51"/>
    </row>
    <row r="9" spans="2:7" ht="15" thickBot="1" x14ac:dyDescent="0.4">
      <c r="B9" s="52"/>
      <c r="C9" s="28" t="s">
        <v>233</v>
      </c>
      <c r="D9" s="29" t="s">
        <v>232</v>
      </c>
      <c r="E9" s="1288" t="s">
        <v>267</v>
      </c>
      <c r="F9" s="1289"/>
      <c r="G9" s="51"/>
    </row>
    <row r="10" spans="2:7" ht="96.75" customHeight="1" x14ac:dyDescent="0.35">
      <c r="B10" s="52"/>
      <c r="C10" s="333" t="s">
        <v>845</v>
      </c>
      <c r="D10" s="333" t="s">
        <v>1200</v>
      </c>
      <c r="E10" s="1281" t="s">
        <v>1346</v>
      </c>
      <c r="F10" s="1282"/>
      <c r="G10" s="51"/>
    </row>
    <row r="11" spans="2:7" ht="63.75" customHeight="1" x14ac:dyDescent="0.35">
      <c r="B11" s="52"/>
      <c r="C11" s="334" t="s">
        <v>846</v>
      </c>
      <c r="D11" s="333" t="s">
        <v>1198</v>
      </c>
      <c r="E11" s="1283" t="s">
        <v>1309</v>
      </c>
      <c r="F11" s="1284"/>
      <c r="G11" s="51"/>
    </row>
    <row r="12" spans="2:7" ht="96.75" customHeight="1" x14ac:dyDescent="0.35">
      <c r="B12" s="52"/>
      <c r="C12" s="334" t="s">
        <v>847</v>
      </c>
      <c r="D12" s="333" t="s">
        <v>1199</v>
      </c>
      <c r="E12" s="1283" t="s">
        <v>1310</v>
      </c>
      <c r="F12" s="1284"/>
      <c r="G12" s="51"/>
    </row>
    <row r="13" spans="2:7" ht="119.25" customHeight="1" x14ac:dyDescent="0.35">
      <c r="B13" s="52"/>
      <c r="C13" s="334" t="s">
        <v>848</v>
      </c>
      <c r="D13" s="333" t="s">
        <v>1198</v>
      </c>
      <c r="E13" s="1283" t="s">
        <v>1347</v>
      </c>
      <c r="F13" s="1284"/>
      <c r="G13" s="51"/>
    </row>
    <row r="14" spans="2:7" ht="68.25" customHeight="1" x14ac:dyDescent="0.35">
      <c r="B14" s="52"/>
      <c r="C14" s="334" t="s">
        <v>849</v>
      </c>
      <c r="D14" s="333" t="s">
        <v>1199</v>
      </c>
      <c r="E14" s="1283" t="s">
        <v>1348</v>
      </c>
      <c r="F14" s="1284"/>
      <c r="G14" s="51"/>
    </row>
    <row r="15" spans="2:7" ht="51.75" customHeight="1" x14ac:dyDescent="0.35">
      <c r="B15" s="52"/>
      <c r="C15" s="334" t="s">
        <v>850</v>
      </c>
      <c r="D15" s="333" t="s">
        <v>1201</v>
      </c>
      <c r="E15" s="1283" t="s">
        <v>1196</v>
      </c>
      <c r="F15" s="1284"/>
      <c r="G15" s="51"/>
    </row>
    <row r="16" spans="2:7" ht="30" customHeight="1" x14ac:dyDescent="0.35">
      <c r="B16" s="52"/>
      <c r="C16" s="31"/>
      <c r="D16" s="31"/>
      <c r="E16" s="1285"/>
      <c r="F16" s="1286"/>
      <c r="G16" s="51"/>
    </row>
    <row r="17" spans="2:7" ht="30" customHeight="1" x14ac:dyDescent="0.35">
      <c r="B17" s="52"/>
      <c r="C17" s="31"/>
      <c r="D17" s="31"/>
      <c r="E17" s="1285"/>
      <c r="F17" s="1286"/>
      <c r="G17" s="51"/>
    </row>
    <row r="18" spans="2:7" ht="30" customHeight="1" x14ac:dyDescent="0.35">
      <c r="B18" s="52"/>
      <c r="C18" s="31"/>
      <c r="D18" s="31"/>
      <c r="E18" s="1285"/>
      <c r="F18" s="1286"/>
      <c r="G18" s="51"/>
    </row>
    <row r="19" spans="2:7" ht="30" customHeight="1" x14ac:dyDescent="0.35">
      <c r="B19" s="52"/>
      <c r="C19" s="31"/>
      <c r="D19" s="31"/>
      <c r="E19" s="1285"/>
      <c r="F19" s="1286"/>
      <c r="G19" s="51"/>
    </row>
    <row r="20" spans="2:7" ht="30" customHeight="1" thickBot="1" x14ac:dyDescent="0.4">
      <c r="B20" s="52"/>
      <c r="C20" s="32"/>
      <c r="D20" s="32"/>
      <c r="E20" s="1296"/>
      <c r="F20" s="1297"/>
      <c r="G20" s="51"/>
    </row>
    <row r="21" spans="2:7" x14ac:dyDescent="0.35">
      <c r="B21" s="52"/>
      <c r="C21" s="54"/>
      <c r="D21" s="54"/>
      <c r="E21" s="54"/>
      <c r="F21" s="54"/>
      <c r="G21" s="51"/>
    </row>
    <row r="22" spans="2:7" x14ac:dyDescent="0.35">
      <c r="B22" s="52"/>
      <c r="C22" s="1294" t="s">
        <v>250</v>
      </c>
      <c r="D22" s="1294"/>
      <c r="E22" s="1294"/>
      <c r="F22" s="1294"/>
      <c r="G22" s="51"/>
    </row>
    <row r="23" spans="2:7" ht="15" thickBot="1" x14ac:dyDescent="0.4">
      <c r="B23" s="52"/>
      <c r="C23" s="1295" t="s">
        <v>265</v>
      </c>
      <c r="D23" s="1295"/>
      <c r="E23" s="1295"/>
      <c r="F23" s="1295"/>
      <c r="G23" s="51"/>
    </row>
    <row r="24" spans="2:7" ht="15" thickBot="1" x14ac:dyDescent="0.4">
      <c r="B24" s="52"/>
      <c r="C24" s="28" t="s">
        <v>233</v>
      </c>
      <c r="D24" s="29" t="s">
        <v>232</v>
      </c>
      <c r="E24" s="1288" t="s">
        <v>267</v>
      </c>
      <c r="F24" s="1289"/>
      <c r="G24" s="51"/>
    </row>
    <row r="25" spans="2:7" ht="40" customHeight="1" x14ac:dyDescent="0.35">
      <c r="B25" s="52"/>
      <c r="C25" s="31"/>
      <c r="D25" s="30"/>
      <c r="E25" s="1290"/>
      <c r="F25" s="1291"/>
      <c r="G25" s="51"/>
    </row>
    <row r="26" spans="2:7" ht="40" customHeight="1" x14ac:dyDescent="0.35">
      <c r="B26" s="52"/>
      <c r="C26" s="31"/>
      <c r="D26" s="30"/>
      <c r="E26" s="1290"/>
      <c r="F26" s="1291"/>
      <c r="G26" s="51"/>
    </row>
    <row r="27" spans="2:7" ht="40" customHeight="1" x14ac:dyDescent="0.35">
      <c r="B27" s="52"/>
      <c r="C27" s="31"/>
      <c r="D27" s="31"/>
      <c r="E27" s="1285"/>
      <c r="F27" s="1286"/>
      <c r="G27" s="51"/>
    </row>
    <row r="28" spans="2:7" ht="40" customHeight="1" thickBot="1" x14ac:dyDescent="0.4">
      <c r="B28" s="52"/>
      <c r="C28" s="32"/>
      <c r="D28" s="32"/>
      <c r="E28" s="1296"/>
      <c r="F28" s="1297"/>
      <c r="G28" s="51"/>
    </row>
    <row r="29" spans="2:7" x14ac:dyDescent="0.35">
      <c r="B29" s="52"/>
      <c r="C29" s="54"/>
      <c r="D29" s="54"/>
      <c r="E29" s="54"/>
      <c r="F29" s="54"/>
      <c r="G29" s="51"/>
    </row>
    <row r="30" spans="2:7" x14ac:dyDescent="0.35">
      <c r="B30" s="52"/>
      <c r="C30" s="54"/>
      <c r="D30" s="54"/>
      <c r="E30" s="54"/>
      <c r="F30" s="54"/>
      <c r="G30" s="51"/>
    </row>
    <row r="31" spans="2:7" ht="31.5" customHeight="1" x14ac:dyDescent="0.35">
      <c r="B31" s="52"/>
      <c r="C31" s="1293" t="s">
        <v>249</v>
      </c>
      <c r="D31" s="1293"/>
      <c r="E31" s="1293"/>
      <c r="F31" s="1293"/>
      <c r="G31" s="51"/>
    </row>
    <row r="32" spans="2:7" ht="15" thickBot="1" x14ac:dyDescent="0.4">
      <c r="B32" s="52"/>
      <c r="C32" s="1280" t="s">
        <v>268</v>
      </c>
      <c r="D32" s="1280"/>
      <c r="E32" s="1287"/>
      <c r="F32" s="1287"/>
      <c r="G32" s="51"/>
    </row>
    <row r="33" spans="2:7" ht="100" customHeight="1" thickBot="1" x14ac:dyDescent="0.4">
      <c r="B33" s="52"/>
      <c r="C33" s="1277"/>
      <c r="D33" s="1278"/>
      <c r="E33" s="1278"/>
      <c r="F33" s="1279"/>
      <c r="G33" s="51"/>
    </row>
    <row r="34" spans="2:7" x14ac:dyDescent="0.35">
      <c r="B34" s="52"/>
      <c r="C34" s="54"/>
      <c r="D34" s="54"/>
      <c r="E34" s="54"/>
      <c r="F34" s="54"/>
      <c r="G34" s="51"/>
    </row>
    <row r="35" spans="2:7" x14ac:dyDescent="0.35">
      <c r="B35" s="52"/>
      <c r="C35" s="54"/>
      <c r="D35" s="54"/>
      <c r="E35" s="54"/>
      <c r="F35" s="54"/>
      <c r="G35" s="51"/>
    </row>
    <row r="36" spans="2:7" x14ac:dyDescent="0.35">
      <c r="B36" s="52"/>
      <c r="C36" s="54"/>
      <c r="D36" s="54"/>
      <c r="E36" s="54"/>
      <c r="F36" s="54"/>
      <c r="G36" s="51"/>
    </row>
    <row r="37" spans="2:7" ht="15" thickBot="1" x14ac:dyDescent="0.4">
      <c r="B37" s="56"/>
      <c r="C37" s="57"/>
      <c r="D37" s="57"/>
      <c r="E37" s="57"/>
      <c r="F37" s="57"/>
      <c r="G37" s="58"/>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1273"/>
      <c r="D44" s="1273"/>
      <c r="E44" s="7"/>
      <c r="F44" s="8"/>
      <c r="G44" s="8"/>
    </row>
    <row r="45" spans="2:7" x14ac:dyDescent="0.35">
      <c r="B45" s="8"/>
      <c r="C45" s="1273"/>
      <c r="D45" s="1273"/>
      <c r="E45" s="7"/>
      <c r="F45" s="8"/>
      <c r="G45" s="8"/>
    </row>
    <row r="46" spans="2:7" x14ac:dyDescent="0.35">
      <c r="B46" s="8"/>
      <c r="C46" s="1274"/>
      <c r="D46" s="1274"/>
      <c r="E46" s="1274"/>
      <c r="F46" s="1274"/>
      <c r="G46" s="8"/>
    </row>
    <row r="47" spans="2:7" x14ac:dyDescent="0.35">
      <c r="B47" s="8"/>
      <c r="C47" s="1271"/>
      <c r="D47" s="1271"/>
      <c r="E47" s="1276"/>
      <c r="F47" s="1276"/>
      <c r="G47" s="8"/>
    </row>
    <row r="48" spans="2:7" x14ac:dyDescent="0.35">
      <c r="B48" s="8"/>
      <c r="C48" s="1271"/>
      <c r="D48" s="1271"/>
      <c r="E48" s="1272"/>
      <c r="F48" s="1272"/>
      <c r="G48" s="8"/>
    </row>
    <row r="49" spans="2:7" x14ac:dyDescent="0.35">
      <c r="B49" s="8"/>
      <c r="C49" s="8"/>
      <c r="D49" s="8"/>
      <c r="E49" s="8"/>
      <c r="F49" s="8"/>
      <c r="G49" s="8"/>
    </row>
    <row r="50" spans="2:7" x14ac:dyDescent="0.35">
      <c r="B50" s="8"/>
      <c r="C50" s="1273"/>
      <c r="D50" s="1273"/>
      <c r="E50" s="7"/>
      <c r="F50" s="8"/>
      <c r="G50" s="8"/>
    </row>
    <row r="51" spans="2:7" x14ac:dyDescent="0.35">
      <c r="B51" s="8"/>
      <c r="C51" s="1273"/>
      <c r="D51" s="1273"/>
      <c r="E51" s="1275"/>
      <c r="F51" s="1275"/>
      <c r="G51" s="8"/>
    </row>
    <row r="52" spans="2:7" x14ac:dyDescent="0.35">
      <c r="B52" s="8"/>
      <c r="C52" s="7"/>
      <c r="D52" s="7"/>
      <c r="E52" s="7"/>
      <c r="F52" s="7"/>
      <c r="G52" s="8"/>
    </row>
    <row r="53" spans="2:7" x14ac:dyDescent="0.35">
      <c r="B53" s="8"/>
      <c r="C53" s="1271"/>
      <c r="D53" s="1271"/>
      <c r="E53" s="1276"/>
      <c r="F53" s="1276"/>
      <c r="G53" s="8"/>
    </row>
    <row r="54" spans="2:7" x14ac:dyDescent="0.35">
      <c r="B54" s="8"/>
      <c r="C54" s="1271"/>
      <c r="D54" s="1271"/>
      <c r="E54" s="1272"/>
      <c r="F54" s="1272"/>
      <c r="G54" s="8"/>
    </row>
    <row r="55" spans="2:7" x14ac:dyDescent="0.35">
      <c r="B55" s="8"/>
      <c r="C55" s="8"/>
      <c r="D55" s="8"/>
      <c r="E55" s="8"/>
      <c r="F55" s="8"/>
      <c r="G55" s="8"/>
    </row>
    <row r="56" spans="2:7" x14ac:dyDescent="0.35">
      <c r="B56" s="8"/>
      <c r="C56" s="1273"/>
      <c r="D56" s="1273"/>
      <c r="E56" s="8"/>
      <c r="F56" s="8"/>
      <c r="G56" s="8"/>
    </row>
    <row r="57" spans="2:7" x14ac:dyDescent="0.35">
      <c r="B57" s="8"/>
      <c r="C57" s="1273"/>
      <c r="D57" s="1273"/>
      <c r="E57" s="1272"/>
      <c r="F57" s="1272"/>
      <c r="G57" s="8"/>
    </row>
    <row r="58" spans="2:7" x14ac:dyDescent="0.35">
      <c r="B58" s="8"/>
      <c r="C58" s="1271"/>
      <c r="D58" s="1271"/>
      <c r="E58" s="1272"/>
      <c r="F58" s="1272"/>
      <c r="G58" s="8"/>
    </row>
    <row r="59" spans="2:7" x14ac:dyDescent="0.35">
      <c r="B59" s="8"/>
      <c r="C59" s="9"/>
      <c r="D59" s="8"/>
      <c r="E59" s="9"/>
      <c r="F59" s="8"/>
      <c r="G59" s="8"/>
    </row>
    <row r="60" spans="2:7" x14ac:dyDescent="0.35">
      <c r="B60" s="8"/>
      <c r="C60" s="9"/>
      <c r="D60" s="9"/>
      <c r="E60" s="9"/>
      <c r="F60" s="9"/>
      <c r="G60" s="10"/>
    </row>
  </sheetData>
  <mergeCells count="47">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C58:D58"/>
    <mergeCell ref="E58:F58"/>
    <mergeCell ref="C54:D54"/>
    <mergeCell ref="E54:F54"/>
    <mergeCell ref="C44:D44"/>
    <mergeCell ref="C45:D45"/>
    <mergeCell ref="E48:F48"/>
    <mergeCell ref="C50:D50"/>
    <mergeCell ref="C46:F46"/>
    <mergeCell ref="C47:D47"/>
  </mergeCells>
  <dataValidations disablePrompts="1" count="2">
    <dataValidation type="whole" allowBlank="1" showInputMessage="1" showErrorMessage="1" sqref="E53 E47" xr:uid="{00000000-0002-0000-0A00-000000000000}">
      <formula1>-999999999</formula1>
      <formula2>999999999</formula2>
    </dataValidation>
    <dataValidation type="list" allowBlank="1" showInputMessage="1" showErrorMessage="1" sqref="E57" xr:uid="{00000000-0002-0000-0A00-000001000000}">
      <formula1>$K$64:$K$65</formula1>
    </dataValidation>
  </dataValidations>
  <pageMargins left="0.25" right="0.25" top="0.17" bottom="0.17" header="0.17" footer="0.17"/>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Z137"/>
  <sheetViews>
    <sheetView topLeftCell="A46" zoomScale="80" zoomScaleNormal="80" workbookViewId="0">
      <selection activeCell="K46" sqref="K46"/>
    </sheetView>
  </sheetViews>
  <sheetFormatPr defaultColWidth="9.1796875" defaultRowHeight="14.5" x14ac:dyDescent="0.35"/>
  <cols>
    <col min="1" max="1" width="2.1796875" customWidth="1"/>
    <col min="2" max="2" width="2.453125" customWidth="1"/>
    <col min="3" max="3" width="12.54296875" style="11" customWidth="1"/>
    <col min="4" max="4" width="15.54296875" customWidth="1"/>
    <col min="5" max="5" width="15" customWidth="1"/>
    <col min="6" max="6" width="18.81640625" customWidth="1"/>
    <col min="7" max="7" width="24.54296875" customWidth="1"/>
    <col min="8" max="8" width="80.54296875" customWidth="1"/>
    <col min="9" max="9" width="9.453125" customWidth="1"/>
    <col min="10" max="10" width="2.54296875" customWidth="1"/>
    <col min="11" max="11" width="2" customWidth="1"/>
    <col min="12" max="12" width="40.54296875" customWidth="1"/>
  </cols>
  <sheetData>
    <row r="1" spans="1:52" ht="15" thickBot="1" x14ac:dyDescent="0.4">
      <c r="A1" s="19"/>
      <c r="B1" s="19"/>
      <c r="C1" s="18"/>
      <c r="D1" s="19"/>
      <c r="E1" s="19"/>
      <c r="F1" s="19"/>
      <c r="G1" s="19"/>
      <c r="H1" s="93"/>
      <c r="I1" s="93"/>
      <c r="J1" s="19"/>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row>
    <row r="2" spans="1:52" ht="15" thickBot="1" x14ac:dyDescent="0.4">
      <c r="A2" s="19"/>
      <c r="B2" s="33"/>
      <c r="C2" s="34"/>
      <c r="D2" s="35"/>
      <c r="E2" s="35"/>
      <c r="F2" s="35"/>
      <c r="G2" s="35"/>
      <c r="H2" s="99"/>
      <c r="I2" s="99"/>
      <c r="J2" s="36"/>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row>
    <row r="3" spans="1:52" ht="20.5" thickBot="1" x14ac:dyDescent="0.45">
      <c r="A3" s="19"/>
      <c r="B3" s="86"/>
      <c r="C3" s="1251" t="s">
        <v>246</v>
      </c>
      <c r="D3" s="1252"/>
      <c r="E3" s="1252"/>
      <c r="F3" s="1252"/>
      <c r="G3" s="1252"/>
      <c r="H3" s="1252"/>
      <c r="I3" s="1253"/>
      <c r="J3" s="88"/>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row>
    <row r="4" spans="1:52" ht="15" customHeight="1" x14ac:dyDescent="0.35">
      <c r="A4" s="19"/>
      <c r="B4" s="37"/>
      <c r="C4" s="1336" t="s">
        <v>221</v>
      </c>
      <c r="D4" s="1336"/>
      <c r="E4" s="1336"/>
      <c r="F4" s="1336"/>
      <c r="G4" s="1336"/>
      <c r="H4" s="1336"/>
      <c r="I4" s="1336"/>
      <c r="J4" s="38"/>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row>
    <row r="5" spans="1:52" ht="15" customHeight="1" x14ac:dyDescent="0.35">
      <c r="A5" s="19"/>
      <c r="B5" s="37"/>
      <c r="C5" s="121"/>
      <c r="D5" s="121"/>
      <c r="E5" s="121"/>
      <c r="F5" s="121"/>
      <c r="G5" s="121"/>
      <c r="H5" s="121"/>
      <c r="I5" s="121"/>
      <c r="J5" s="38"/>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row>
    <row r="6" spans="1:52" x14ac:dyDescent="0.35">
      <c r="A6" s="19"/>
      <c r="B6" s="37"/>
      <c r="C6" s="39"/>
      <c r="D6" s="40"/>
      <c r="E6" s="40"/>
      <c r="F6" s="40"/>
      <c r="G6" s="40"/>
      <c r="H6" s="100"/>
      <c r="I6" s="100"/>
      <c r="J6" s="38"/>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row>
    <row r="7" spans="1:52" ht="15.75" customHeight="1" x14ac:dyDescent="0.35">
      <c r="A7" s="19"/>
      <c r="B7" s="37"/>
      <c r="C7" s="39"/>
      <c r="D7" s="1337" t="s">
        <v>247</v>
      </c>
      <c r="E7" s="1337"/>
      <c r="F7" s="1337" t="s">
        <v>251</v>
      </c>
      <c r="G7" s="1337"/>
      <c r="H7" s="98" t="s">
        <v>252</v>
      </c>
      <c r="I7" s="98" t="s">
        <v>230</v>
      </c>
      <c r="J7" s="38"/>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row>
    <row r="8" spans="1:52" s="11" customFormat="1" ht="37.5" customHeight="1" x14ac:dyDescent="0.35">
      <c r="A8" s="18"/>
      <c r="B8" s="42"/>
      <c r="C8" s="1350" t="s">
        <v>245</v>
      </c>
      <c r="D8" s="1347" t="s">
        <v>843</v>
      </c>
      <c r="E8" s="1348"/>
      <c r="F8" s="1348"/>
      <c r="G8" s="1348"/>
      <c r="H8" s="1348"/>
      <c r="I8" s="1349"/>
      <c r="J8" s="4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row>
    <row r="9" spans="1:52" s="11" customFormat="1" ht="137.25" customHeight="1" x14ac:dyDescent="0.35">
      <c r="A9" s="18"/>
      <c r="B9" s="42"/>
      <c r="C9" s="1350"/>
      <c r="D9" s="1332" t="s">
        <v>833</v>
      </c>
      <c r="E9" s="1332"/>
      <c r="F9" s="1338" t="s">
        <v>844</v>
      </c>
      <c r="G9" s="1339"/>
      <c r="H9" s="590" t="s">
        <v>1317</v>
      </c>
      <c r="I9" s="874" t="s">
        <v>20</v>
      </c>
      <c r="J9" s="4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row>
    <row r="10" spans="1:52" s="11" customFormat="1" ht="24" customHeight="1" x14ac:dyDescent="0.35">
      <c r="A10" s="18"/>
      <c r="B10" s="42"/>
      <c r="C10" s="576" t="s">
        <v>681</v>
      </c>
      <c r="D10" s="1333" t="s">
        <v>820</v>
      </c>
      <c r="E10" s="1334"/>
      <c r="F10" s="1334"/>
      <c r="G10" s="1334"/>
      <c r="H10" s="1334"/>
      <c r="I10" s="1335"/>
      <c r="J10" s="4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row>
    <row r="11" spans="1:52" s="11" customFormat="1" ht="221.25" customHeight="1" x14ac:dyDescent="0.35">
      <c r="A11" s="18"/>
      <c r="B11" s="42"/>
      <c r="C11" s="286"/>
      <c r="D11" s="1332" t="s">
        <v>835</v>
      </c>
      <c r="E11" s="1332"/>
      <c r="F11" s="1351" t="s">
        <v>1311</v>
      </c>
      <c r="G11" s="1352"/>
      <c r="H11" s="591" t="s">
        <v>1350</v>
      </c>
      <c r="I11" s="873" t="s">
        <v>20</v>
      </c>
      <c r="J11" s="43"/>
      <c r="L11" s="611"/>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row>
    <row r="12" spans="1:52" s="11" customFormat="1" ht="21" customHeight="1" x14ac:dyDescent="0.35">
      <c r="A12" s="18"/>
      <c r="B12" s="42"/>
      <c r="C12" s="576" t="s">
        <v>1182</v>
      </c>
      <c r="D12" s="1333" t="s">
        <v>348</v>
      </c>
      <c r="E12" s="1334"/>
      <c r="F12" s="1334"/>
      <c r="G12" s="1334"/>
      <c r="H12" s="1334"/>
      <c r="I12" s="1335"/>
      <c r="J12" s="4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row>
    <row r="13" spans="1:52" s="11" customFormat="1" ht="238" customHeight="1" x14ac:dyDescent="0.35">
      <c r="A13" s="18"/>
      <c r="B13" s="42"/>
      <c r="C13" s="286"/>
      <c r="D13" s="1332" t="s">
        <v>836</v>
      </c>
      <c r="E13" s="1332"/>
      <c r="F13" s="1332" t="s">
        <v>837</v>
      </c>
      <c r="G13" s="1332"/>
      <c r="H13" s="591" t="s">
        <v>1312</v>
      </c>
      <c r="I13" s="873" t="s">
        <v>20</v>
      </c>
      <c r="J13" s="4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row>
    <row r="14" spans="1:52" s="11" customFormat="1" ht="21" customHeight="1" x14ac:dyDescent="0.35">
      <c r="A14" s="18"/>
      <c r="B14" s="42"/>
      <c r="C14" s="576" t="s">
        <v>1180</v>
      </c>
      <c r="D14" s="1333" t="s">
        <v>838</v>
      </c>
      <c r="E14" s="1334"/>
      <c r="F14" s="1334"/>
      <c r="G14" s="1334"/>
      <c r="H14" s="1334"/>
      <c r="I14" s="1335"/>
      <c r="J14" s="4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row>
    <row r="15" spans="1:52" s="11" customFormat="1" ht="187.5" customHeight="1" x14ac:dyDescent="0.35">
      <c r="A15" s="18"/>
      <c r="B15" s="42"/>
      <c r="C15" s="286"/>
      <c r="D15" s="1332" t="s">
        <v>839</v>
      </c>
      <c r="E15" s="1332"/>
      <c r="F15" s="1332" t="s">
        <v>722</v>
      </c>
      <c r="G15" s="1332"/>
      <c r="H15" s="590" t="s">
        <v>1313</v>
      </c>
      <c r="I15" s="873" t="s">
        <v>20</v>
      </c>
      <c r="J15" s="4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row>
    <row r="16" spans="1:52" s="11" customFormat="1" ht="21" customHeight="1" x14ac:dyDescent="0.35">
      <c r="A16" s="18"/>
      <c r="B16" s="42"/>
      <c r="C16" s="576" t="s">
        <v>1181</v>
      </c>
      <c r="D16" s="1353" t="s">
        <v>823</v>
      </c>
      <c r="E16" s="1354"/>
      <c r="F16" s="1354"/>
      <c r="G16" s="1354"/>
      <c r="H16" s="1354"/>
      <c r="I16" s="1355"/>
      <c r="J16" s="4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row>
    <row r="17" spans="1:52" s="11" customFormat="1" ht="128.25" customHeight="1" x14ac:dyDescent="0.35">
      <c r="A17" s="18"/>
      <c r="B17" s="42"/>
      <c r="C17" s="286"/>
      <c r="D17" s="1332" t="s">
        <v>840</v>
      </c>
      <c r="E17" s="1332"/>
      <c r="F17" s="1332" t="s">
        <v>727</v>
      </c>
      <c r="G17" s="1332"/>
      <c r="H17" s="590" t="s">
        <v>1325</v>
      </c>
      <c r="I17" s="873" t="s">
        <v>20</v>
      </c>
      <c r="J17" s="4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row>
    <row r="18" spans="1:52" s="11" customFormat="1" ht="21" customHeight="1" x14ac:dyDescent="0.35">
      <c r="A18" s="18"/>
      <c r="B18" s="42"/>
      <c r="C18" s="576" t="s">
        <v>678</v>
      </c>
      <c r="D18" s="1333" t="s">
        <v>824</v>
      </c>
      <c r="E18" s="1334"/>
      <c r="F18" s="1334"/>
      <c r="G18" s="1334"/>
      <c r="H18" s="1334"/>
      <c r="I18" s="1335"/>
      <c r="J18" s="4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row>
    <row r="19" spans="1:52" s="11" customFormat="1" ht="161.25" customHeight="1" x14ac:dyDescent="0.35">
      <c r="A19" s="18"/>
      <c r="B19" s="42"/>
      <c r="C19" s="286"/>
      <c r="D19" s="1332" t="s">
        <v>841</v>
      </c>
      <c r="E19" s="1332"/>
      <c r="F19" s="1332" t="s">
        <v>724</v>
      </c>
      <c r="G19" s="1332"/>
      <c r="H19" s="590" t="s">
        <v>1315</v>
      </c>
      <c r="I19" s="329" t="s">
        <v>20</v>
      </c>
      <c r="J19" s="43"/>
      <c r="L19" s="328"/>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row>
    <row r="20" spans="1:52" s="11" customFormat="1" ht="18.75" customHeight="1" thickBot="1" x14ac:dyDescent="0.4">
      <c r="A20" s="18"/>
      <c r="B20" s="42"/>
      <c r="C20" s="95"/>
      <c r="D20" s="44"/>
      <c r="E20" s="44"/>
      <c r="F20" s="44"/>
      <c r="G20" s="44"/>
      <c r="H20" s="105" t="s">
        <v>248</v>
      </c>
      <c r="I20" s="331" t="s">
        <v>20</v>
      </c>
      <c r="J20" s="4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row>
    <row r="21" spans="1:52" s="11" customFormat="1" ht="18.75" customHeight="1" x14ac:dyDescent="0.35">
      <c r="A21" s="18"/>
      <c r="B21" s="42"/>
      <c r="C21" s="138"/>
      <c r="D21" s="44"/>
      <c r="E21" s="44"/>
      <c r="F21" s="44"/>
      <c r="G21" s="44"/>
      <c r="H21" s="106"/>
      <c r="I21" s="39"/>
      <c r="J21" s="4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row>
    <row r="22" spans="1:52" s="11" customFormat="1" ht="15" thickBot="1" x14ac:dyDescent="0.4">
      <c r="A22" s="18"/>
      <c r="B22" s="42"/>
      <c r="C22" s="122"/>
      <c r="D22" s="1344" t="s">
        <v>274</v>
      </c>
      <c r="E22" s="1344"/>
      <c r="F22" s="1344"/>
      <c r="G22" s="1344"/>
      <c r="H22" s="1344"/>
      <c r="I22" s="1344"/>
      <c r="J22" s="4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row>
    <row r="23" spans="1:52" s="11" customFormat="1" ht="15" thickBot="1" x14ac:dyDescent="0.4">
      <c r="A23" s="18"/>
      <c r="B23" s="42"/>
      <c r="C23" s="122"/>
      <c r="D23" s="80" t="s">
        <v>60</v>
      </c>
      <c r="E23" s="1340" t="s">
        <v>857</v>
      </c>
      <c r="F23" s="1341"/>
      <c r="G23" s="1341"/>
      <c r="H23" s="1342"/>
      <c r="I23" s="44"/>
      <c r="J23" s="4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row>
    <row r="24" spans="1:52" s="11" customFormat="1" ht="15" thickBot="1" x14ac:dyDescent="0.4">
      <c r="A24" s="18"/>
      <c r="B24" s="42"/>
      <c r="C24" s="122"/>
      <c r="D24" s="80" t="s">
        <v>62</v>
      </c>
      <c r="E24" s="1343" t="s">
        <v>852</v>
      </c>
      <c r="F24" s="1341"/>
      <c r="G24" s="1341"/>
      <c r="H24" s="1342"/>
      <c r="I24" s="44"/>
      <c r="J24" s="4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row>
    <row r="25" spans="1:52" s="11" customFormat="1" ht="13.5" customHeight="1" x14ac:dyDescent="0.35">
      <c r="A25" s="18"/>
      <c r="B25" s="42"/>
      <c r="C25" s="122"/>
      <c r="D25" s="44"/>
      <c r="E25" s="44"/>
      <c r="F25" s="44"/>
      <c r="G25" s="44"/>
      <c r="H25" s="44"/>
      <c r="I25" s="44"/>
      <c r="J25" s="4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row>
    <row r="26" spans="1:52" s="11" customFormat="1" ht="13.5" customHeight="1" x14ac:dyDescent="0.35">
      <c r="A26" s="18"/>
      <c r="B26" s="42"/>
      <c r="C26" s="348"/>
      <c r="D26" s="44"/>
      <c r="E26" s="44"/>
      <c r="F26" s="44"/>
      <c r="G26" s="44"/>
      <c r="H26" s="44"/>
      <c r="I26" s="44"/>
      <c r="J26" s="4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row>
    <row r="27" spans="1:52" s="11" customFormat="1" ht="30.75" customHeight="1" thickBot="1" x14ac:dyDescent="0.4">
      <c r="A27" s="18"/>
      <c r="B27" s="42"/>
      <c r="C27" s="1257" t="s">
        <v>222</v>
      </c>
      <c r="D27" s="1257"/>
      <c r="E27" s="1257"/>
      <c r="F27" s="1257"/>
      <c r="G27" s="1257"/>
      <c r="H27" s="1257"/>
      <c r="I27" s="100"/>
      <c r="J27" s="4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row>
    <row r="28" spans="1:52" s="11" customFormat="1" ht="30.75" customHeight="1" x14ac:dyDescent="0.35">
      <c r="A28" s="18"/>
      <c r="B28" s="42"/>
      <c r="C28" s="103"/>
      <c r="D28" s="1307" t="s">
        <v>1316</v>
      </c>
      <c r="E28" s="1308"/>
      <c r="F28" s="1308"/>
      <c r="G28" s="1308"/>
      <c r="H28" s="1308"/>
      <c r="I28" s="1309"/>
      <c r="J28" s="4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row>
    <row r="29" spans="1:52" s="11" customFormat="1" ht="30.75" customHeight="1" x14ac:dyDescent="0.35">
      <c r="A29" s="18"/>
      <c r="B29" s="42"/>
      <c r="C29" s="103"/>
      <c r="D29" s="1310"/>
      <c r="E29" s="1311"/>
      <c r="F29" s="1311"/>
      <c r="G29" s="1311"/>
      <c r="H29" s="1311"/>
      <c r="I29" s="1312"/>
      <c r="J29" s="4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row>
    <row r="30" spans="1:52" s="11" customFormat="1" ht="30.75" customHeight="1" x14ac:dyDescent="0.35">
      <c r="A30" s="18"/>
      <c r="B30" s="42"/>
      <c r="C30" s="103"/>
      <c r="D30" s="1310"/>
      <c r="E30" s="1311"/>
      <c r="F30" s="1311"/>
      <c r="G30" s="1311"/>
      <c r="H30" s="1311"/>
      <c r="I30" s="1312"/>
      <c r="J30" s="4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row>
    <row r="31" spans="1:52" s="11" customFormat="1" ht="20.25" customHeight="1" thickBot="1" x14ac:dyDescent="0.4">
      <c r="A31" s="18"/>
      <c r="B31" s="42"/>
      <c r="C31" s="103"/>
      <c r="D31" s="1313"/>
      <c r="E31" s="1314"/>
      <c r="F31" s="1314"/>
      <c r="G31" s="1314"/>
      <c r="H31" s="1314"/>
      <c r="I31" s="1315"/>
      <c r="J31" s="4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row>
    <row r="32" spans="1:52" s="11" customFormat="1" x14ac:dyDescent="0.35">
      <c r="A32" s="18"/>
      <c r="B32" s="42"/>
      <c r="C32" s="96"/>
      <c r="D32" s="96"/>
      <c r="E32" s="96"/>
      <c r="F32" s="103"/>
      <c r="G32" s="96"/>
      <c r="H32" s="100"/>
      <c r="I32" s="100"/>
      <c r="J32" s="4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row>
    <row r="33" spans="1:52" ht="15.75" customHeight="1" thickBot="1" x14ac:dyDescent="0.4">
      <c r="A33" s="19"/>
      <c r="B33" s="42"/>
      <c r="C33" s="45"/>
      <c r="D33" s="1304" t="s">
        <v>247</v>
      </c>
      <c r="E33" s="1304"/>
      <c r="F33" s="1304" t="s">
        <v>251</v>
      </c>
      <c r="G33" s="1304"/>
      <c r="H33" s="98" t="s">
        <v>252</v>
      </c>
      <c r="I33" s="98" t="s">
        <v>230</v>
      </c>
      <c r="J33" s="43"/>
      <c r="K33" s="6"/>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row>
    <row r="34" spans="1:52" s="11" customFormat="1" ht="28.5" customHeight="1" x14ac:dyDescent="0.35">
      <c r="A34" s="18"/>
      <c r="B34" s="42"/>
      <c r="C34" s="1350" t="s">
        <v>842</v>
      </c>
      <c r="D34" s="1356" t="s">
        <v>740</v>
      </c>
      <c r="E34" s="1356"/>
      <c r="F34" s="1356"/>
      <c r="G34" s="1356"/>
      <c r="H34" s="1356"/>
      <c r="I34" s="1356"/>
      <c r="J34" s="4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row>
    <row r="35" spans="1:52" s="11" customFormat="1" ht="111" customHeight="1" x14ac:dyDescent="0.35">
      <c r="A35" s="18"/>
      <c r="B35" s="42"/>
      <c r="C35" s="1350"/>
      <c r="D35" s="1332" t="s">
        <v>833</v>
      </c>
      <c r="E35" s="1332"/>
      <c r="F35" s="1338" t="s">
        <v>834</v>
      </c>
      <c r="G35" s="1339"/>
      <c r="H35" s="330" t="s">
        <v>1318</v>
      </c>
      <c r="I35" s="874" t="s">
        <v>20</v>
      </c>
      <c r="J35" s="4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row>
    <row r="36" spans="1:52" s="11" customFormat="1" ht="24" customHeight="1" x14ac:dyDescent="0.35">
      <c r="A36" s="18"/>
      <c r="B36" s="42"/>
      <c r="C36" s="286"/>
      <c r="D36" s="1333" t="s">
        <v>820</v>
      </c>
      <c r="E36" s="1334"/>
      <c r="F36" s="1334"/>
      <c r="G36" s="1334"/>
      <c r="H36" s="1334"/>
      <c r="I36" s="1335"/>
      <c r="J36" s="4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row>
    <row r="37" spans="1:52" s="11" customFormat="1" ht="126" x14ac:dyDescent="0.35">
      <c r="A37" s="18"/>
      <c r="B37" s="42"/>
      <c r="C37" s="286"/>
      <c r="D37" s="1332" t="s">
        <v>835</v>
      </c>
      <c r="E37" s="1332"/>
      <c r="F37" s="1345" t="s">
        <v>1319</v>
      </c>
      <c r="G37" s="1346"/>
      <c r="H37" s="612" t="s">
        <v>1320</v>
      </c>
      <c r="I37" s="873" t="s">
        <v>20</v>
      </c>
      <c r="J37" s="4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row>
    <row r="38" spans="1:52" s="11" customFormat="1" ht="21" customHeight="1" x14ac:dyDescent="0.35">
      <c r="A38" s="18"/>
      <c r="B38" s="42"/>
      <c r="C38" s="286"/>
      <c r="D38" s="1333" t="s">
        <v>348</v>
      </c>
      <c r="E38" s="1334"/>
      <c r="F38" s="1334"/>
      <c r="G38" s="1334"/>
      <c r="H38" s="1334"/>
      <c r="I38" s="1335"/>
      <c r="J38" s="4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row>
    <row r="39" spans="1:52" s="11" customFormat="1" ht="56" x14ac:dyDescent="0.35">
      <c r="A39" s="18"/>
      <c r="B39" s="42"/>
      <c r="C39" s="286"/>
      <c r="D39" s="1332" t="s">
        <v>836</v>
      </c>
      <c r="E39" s="1332"/>
      <c r="F39" s="1332" t="s">
        <v>837</v>
      </c>
      <c r="G39" s="1332"/>
      <c r="H39" s="612" t="s">
        <v>1321</v>
      </c>
      <c r="I39" s="873" t="s">
        <v>20</v>
      </c>
      <c r="J39" s="4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row>
    <row r="40" spans="1:52" s="11" customFormat="1" ht="21" customHeight="1" x14ac:dyDescent="0.35">
      <c r="A40" s="18"/>
      <c r="B40" s="42"/>
      <c r="C40" s="286"/>
      <c r="D40" s="1333" t="s">
        <v>838</v>
      </c>
      <c r="E40" s="1334"/>
      <c r="F40" s="1334"/>
      <c r="G40" s="1334"/>
      <c r="H40" s="1334"/>
      <c r="I40" s="1335"/>
      <c r="J40" s="4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row>
    <row r="41" spans="1:52" s="11" customFormat="1" ht="98" x14ac:dyDescent="0.35">
      <c r="A41" s="18"/>
      <c r="B41" s="42"/>
      <c r="C41" s="286"/>
      <c r="D41" s="1332" t="s">
        <v>839</v>
      </c>
      <c r="E41" s="1332"/>
      <c r="F41" s="1332" t="s">
        <v>722</v>
      </c>
      <c r="G41" s="1332"/>
      <c r="H41" s="612" t="s">
        <v>1324</v>
      </c>
      <c r="I41" s="873" t="s">
        <v>20</v>
      </c>
      <c r="J41" s="4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52" s="11" customFormat="1" ht="21" customHeight="1" x14ac:dyDescent="0.35">
      <c r="A42" s="18"/>
      <c r="B42" s="42"/>
      <c r="C42" s="286"/>
      <c r="D42" s="1333" t="s">
        <v>823</v>
      </c>
      <c r="E42" s="1334"/>
      <c r="F42" s="1334"/>
      <c r="G42" s="1334"/>
      <c r="H42" s="1334"/>
      <c r="I42" s="1335"/>
      <c r="J42" s="4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row>
    <row r="43" spans="1:52" s="11" customFormat="1" ht="56" x14ac:dyDescent="0.35">
      <c r="A43" s="18"/>
      <c r="B43" s="42"/>
      <c r="C43" s="286"/>
      <c r="D43" s="1332" t="s">
        <v>840</v>
      </c>
      <c r="E43" s="1332"/>
      <c r="F43" s="1332" t="s">
        <v>727</v>
      </c>
      <c r="G43" s="1332"/>
      <c r="H43" s="612" t="s">
        <v>1326</v>
      </c>
      <c r="I43" s="329" t="s">
        <v>20</v>
      </c>
      <c r="J43" s="4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row>
    <row r="44" spans="1:52" s="11" customFormat="1" ht="21" customHeight="1" x14ac:dyDescent="0.35">
      <c r="A44" s="18"/>
      <c r="B44" s="42"/>
      <c r="C44" s="286"/>
      <c r="D44" s="1333" t="s">
        <v>824</v>
      </c>
      <c r="E44" s="1334"/>
      <c r="F44" s="1334"/>
      <c r="G44" s="1334"/>
      <c r="H44" s="1334"/>
      <c r="I44" s="1335"/>
      <c r="J44" s="4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row>
    <row r="45" spans="1:52" s="11" customFormat="1" ht="40" customHeight="1" thickBot="1" x14ac:dyDescent="0.4">
      <c r="A45" s="18"/>
      <c r="B45" s="42"/>
      <c r="C45" s="286"/>
      <c r="D45" s="1332" t="s">
        <v>841</v>
      </c>
      <c r="E45" s="1332"/>
      <c r="F45" s="1332" t="s">
        <v>724</v>
      </c>
      <c r="G45" s="1332"/>
      <c r="H45" s="610" t="s">
        <v>1323</v>
      </c>
      <c r="I45" s="873" t="s">
        <v>20</v>
      </c>
      <c r="J45" s="4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row>
    <row r="46" spans="1:52" ht="18.75" customHeight="1" thickBot="1" x14ac:dyDescent="0.4">
      <c r="A46" s="19"/>
      <c r="B46" s="42"/>
      <c r="C46" s="39"/>
      <c r="D46" s="39"/>
      <c r="E46" s="39"/>
      <c r="F46" s="39"/>
      <c r="G46" s="39"/>
      <c r="H46" s="105" t="s">
        <v>248</v>
      </c>
      <c r="I46" s="332" t="s">
        <v>20</v>
      </c>
      <c r="J46" s="4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row>
    <row r="47" spans="1:52" ht="15" thickBot="1" x14ac:dyDescent="0.4">
      <c r="A47" s="19"/>
      <c r="B47" s="42"/>
      <c r="C47" s="39"/>
      <c r="D47" s="136" t="s">
        <v>274</v>
      </c>
      <c r="E47" s="139"/>
      <c r="F47" s="39"/>
      <c r="G47" s="39"/>
      <c r="H47" s="106"/>
      <c r="I47" s="39"/>
      <c r="J47" s="4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row>
    <row r="48" spans="1:52" ht="15" thickBot="1" x14ac:dyDescent="0.4">
      <c r="A48" s="19"/>
      <c r="B48" s="42"/>
      <c r="C48" s="39"/>
      <c r="D48" s="80" t="s">
        <v>60</v>
      </c>
      <c r="E48" s="1298" t="s">
        <v>1349</v>
      </c>
      <c r="F48" s="1299"/>
      <c r="G48" s="1299"/>
      <c r="H48" s="1300"/>
      <c r="I48" s="39"/>
      <c r="J48" s="4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row>
    <row r="49" spans="1:52" ht="16" thickBot="1" x14ac:dyDescent="0.4">
      <c r="A49" s="19"/>
      <c r="B49" s="42"/>
      <c r="C49" s="39"/>
      <c r="D49" s="80" t="s">
        <v>62</v>
      </c>
      <c r="E49" s="1301" t="s">
        <v>1345</v>
      </c>
      <c r="F49" s="1302"/>
      <c r="G49" s="1302"/>
      <c r="H49" s="1303"/>
      <c r="I49" s="39"/>
      <c r="J49" s="4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row>
    <row r="50" spans="1:52" x14ac:dyDescent="0.35">
      <c r="A50" s="19"/>
      <c r="B50" s="42"/>
      <c r="C50" s="39"/>
      <c r="D50" s="39"/>
      <c r="E50" s="39"/>
      <c r="F50" s="39"/>
      <c r="G50" s="39"/>
      <c r="H50" s="106"/>
      <c r="I50" s="39"/>
      <c r="J50" s="4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row>
    <row r="51" spans="1:52" s="11" customFormat="1" ht="30.75" customHeight="1" thickBot="1" x14ac:dyDescent="0.4">
      <c r="A51" s="18"/>
      <c r="B51" s="42"/>
      <c r="C51" s="1257" t="s">
        <v>222</v>
      </c>
      <c r="D51" s="1257"/>
      <c r="E51" s="1257"/>
      <c r="F51" s="1257"/>
      <c r="G51" s="1257"/>
      <c r="H51" s="1257"/>
      <c r="I51" s="100"/>
      <c r="J51" s="4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row>
    <row r="52" spans="1:52" s="11" customFormat="1" ht="30.75" customHeight="1" x14ac:dyDescent="0.35">
      <c r="A52" s="18"/>
      <c r="B52" s="42"/>
      <c r="C52" s="347"/>
      <c r="D52" s="1307" t="s">
        <v>1327</v>
      </c>
      <c r="E52" s="1308"/>
      <c r="F52" s="1308"/>
      <c r="G52" s="1308"/>
      <c r="H52" s="1308"/>
      <c r="I52" s="1309"/>
      <c r="J52" s="4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row>
    <row r="53" spans="1:52" s="11" customFormat="1" ht="30.75" customHeight="1" x14ac:dyDescent="0.35">
      <c r="A53" s="18"/>
      <c r="B53" s="42"/>
      <c r="C53" s="347"/>
      <c r="D53" s="1310"/>
      <c r="E53" s="1311"/>
      <c r="F53" s="1311"/>
      <c r="G53" s="1311"/>
      <c r="H53" s="1311"/>
      <c r="I53" s="1312"/>
      <c r="J53" s="4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row>
    <row r="54" spans="1:52" s="11" customFormat="1" ht="24" customHeight="1" x14ac:dyDescent="0.35">
      <c r="A54" s="18"/>
      <c r="B54" s="42"/>
      <c r="C54" s="347"/>
      <c r="D54" s="1310"/>
      <c r="E54" s="1311"/>
      <c r="F54" s="1311"/>
      <c r="G54" s="1311"/>
      <c r="H54" s="1311"/>
      <c r="I54" s="1312"/>
      <c r="J54" s="4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row>
    <row r="55" spans="1:52" s="11" customFormat="1" ht="20.25" customHeight="1" thickBot="1" x14ac:dyDescent="0.4">
      <c r="A55" s="18"/>
      <c r="B55" s="42"/>
      <c r="C55" s="347"/>
      <c r="D55" s="1313"/>
      <c r="E55" s="1314"/>
      <c r="F55" s="1314"/>
      <c r="G55" s="1314"/>
      <c r="H55" s="1314"/>
      <c r="I55" s="1315"/>
      <c r="J55" s="4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row>
    <row r="56" spans="1:52" s="11" customFormat="1" x14ac:dyDescent="0.35">
      <c r="A56" s="18"/>
      <c r="B56" s="42"/>
      <c r="C56" s="347"/>
      <c r="D56" s="347"/>
      <c r="E56" s="347"/>
      <c r="F56" s="347"/>
      <c r="G56" s="347"/>
      <c r="H56" s="100"/>
      <c r="I56" s="100"/>
      <c r="J56" s="4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row>
    <row r="57" spans="1:52" x14ac:dyDescent="0.35">
      <c r="A57" s="19"/>
      <c r="B57" s="42"/>
      <c r="C57" s="39"/>
      <c r="D57" s="39"/>
      <c r="E57" s="39"/>
      <c r="F57" s="39"/>
      <c r="G57" s="39"/>
      <c r="H57" s="106"/>
      <c r="I57" s="39"/>
      <c r="J57" s="4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row>
    <row r="58" spans="1:52" x14ac:dyDescent="0.35">
      <c r="A58" s="19"/>
      <c r="B58" s="42"/>
      <c r="C58" s="39"/>
      <c r="D58" s="39"/>
      <c r="E58" s="39"/>
      <c r="F58" s="39"/>
      <c r="G58" s="39"/>
      <c r="H58" s="106"/>
      <c r="I58" s="39"/>
      <c r="J58" s="4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row>
    <row r="59" spans="1:52" x14ac:dyDescent="0.35">
      <c r="A59" s="19"/>
      <c r="B59" s="42"/>
      <c r="C59" s="39"/>
      <c r="D59" s="39"/>
      <c r="E59" s="39"/>
      <c r="F59" s="39"/>
      <c r="G59" s="39"/>
      <c r="H59" s="106"/>
      <c r="I59" s="39"/>
      <c r="J59" s="4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row>
    <row r="60" spans="1:52" x14ac:dyDescent="0.35">
      <c r="A60" s="19"/>
      <c r="B60" s="42"/>
      <c r="C60" s="39"/>
      <c r="D60" s="39"/>
      <c r="E60" s="39"/>
      <c r="F60" s="39"/>
      <c r="G60" s="39"/>
      <c r="H60" s="106"/>
      <c r="I60" s="39"/>
      <c r="J60" s="4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row>
    <row r="61" spans="1:52" ht="15.75" customHeight="1" thickBot="1" x14ac:dyDescent="0.4">
      <c r="A61" s="19"/>
      <c r="B61" s="42"/>
      <c r="C61" s="45"/>
      <c r="D61" s="1304" t="s">
        <v>247</v>
      </c>
      <c r="E61" s="1304"/>
      <c r="F61" s="1304" t="s">
        <v>251</v>
      </c>
      <c r="G61" s="1304"/>
      <c r="H61" s="98" t="s">
        <v>252</v>
      </c>
      <c r="I61" s="98" t="s">
        <v>230</v>
      </c>
      <c r="J61" s="43"/>
      <c r="K61" s="6"/>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row>
    <row r="62" spans="1:52" ht="40" customHeight="1" thickBot="1" x14ac:dyDescent="0.4">
      <c r="A62" s="19"/>
      <c r="B62" s="42"/>
      <c r="C62" s="97" t="s">
        <v>277</v>
      </c>
      <c r="D62" s="1305"/>
      <c r="E62" s="1306"/>
      <c r="F62" s="1305"/>
      <c r="G62" s="1306"/>
      <c r="H62" s="102"/>
      <c r="I62" s="102"/>
      <c r="J62" s="43"/>
      <c r="K62" s="6"/>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row>
    <row r="63" spans="1:52" ht="40" customHeight="1" thickBot="1" x14ac:dyDescent="0.4">
      <c r="A63" s="19"/>
      <c r="B63" s="42"/>
      <c r="C63" s="97"/>
      <c r="D63" s="1305"/>
      <c r="E63" s="1306"/>
      <c r="F63" s="1305"/>
      <c r="G63" s="1306"/>
      <c r="H63" s="102"/>
      <c r="I63" s="102"/>
      <c r="J63" s="4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row>
    <row r="64" spans="1:52" ht="48" customHeight="1" thickBot="1" x14ac:dyDescent="0.4">
      <c r="A64" s="19"/>
      <c r="B64" s="42"/>
      <c r="C64" s="97"/>
      <c r="D64" s="1305"/>
      <c r="E64" s="1306"/>
      <c r="F64" s="1305"/>
      <c r="G64" s="1306"/>
      <c r="H64" s="102"/>
      <c r="I64" s="102"/>
      <c r="J64" s="4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row>
    <row r="65" spans="1:52" ht="21.75" customHeight="1" thickBot="1" x14ac:dyDescent="0.4">
      <c r="A65" s="19"/>
      <c r="B65" s="42"/>
      <c r="C65" s="39"/>
      <c r="D65" s="39"/>
      <c r="E65" s="39"/>
      <c r="F65" s="39"/>
      <c r="G65" s="39"/>
      <c r="H65" s="105" t="s">
        <v>248</v>
      </c>
      <c r="I65" s="107"/>
      <c r="J65" s="4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row>
    <row r="66" spans="1:52" ht="15" thickBot="1" x14ac:dyDescent="0.4">
      <c r="A66" s="19"/>
      <c r="B66" s="42"/>
      <c r="C66" s="39"/>
      <c r="D66" s="136" t="s">
        <v>274</v>
      </c>
      <c r="E66" s="139"/>
      <c r="F66" s="39"/>
      <c r="G66" s="39"/>
      <c r="H66" s="106"/>
      <c r="I66" s="39"/>
      <c r="J66" s="4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row>
    <row r="67" spans="1:52" ht="15" thickBot="1" x14ac:dyDescent="0.4">
      <c r="A67" s="19"/>
      <c r="B67" s="42"/>
      <c r="C67" s="39"/>
      <c r="D67" s="80" t="s">
        <v>60</v>
      </c>
      <c r="E67" s="1325"/>
      <c r="F67" s="1326"/>
      <c r="G67" s="1326"/>
      <c r="H67" s="1327"/>
      <c r="I67" s="39"/>
      <c r="J67" s="4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row>
    <row r="68" spans="1:52" ht="15" thickBot="1" x14ac:dyDescent="0.4">
      <c r="A68" s="19"/>
      <c r="B68" s="42"/>
      <c r="C68" s="39"/>
      <c r="D68" s="80" t="s">
        <v>62</v>
      </c>
      <c r="E68" s="1325"/>
      <c r="F68" s="1326"/>
      <c r="G68" s="1326"/>
      <c r="H68" s="1327"/>
      <c r="I68" s="39"/>
      <c r="J68" s="4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row>
    <row r="69" spans="1:52" ht="15" thickBot="1" x14ac:dyDescent="0.4">
      <c r="A69" s="19"/>
      <c r="B69" s="42"/>
      <c r="C69" s="39"/>
      <c r="D69" s="80"/>
      <c r="E69" s="39"/>
      <c r="F69" s="39"/>
      <c r="G69" s="39"/>
      <c r="H69" s="39"/>
      <c r="I69" s="39"/>
      <c r="J69" s="4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row>
    <row r="70" spans="1:52" ht="196.5" customHeight="1" thickBot="1" x14ac:dyDescent="0.4">
      <c r="A70" s="19"/>
      <c r="B70" s="42"/>
      <c r="C70" s="104"/>
      <c r="D70" s="1328" t="s">
        <v>253</v>
      </c>
      <c r="E70" s="1328"/>
      <c r="F70" s="1329"/>
      <c r="G70" s="1330"/>
      <c r="H70" s="1330"/>
      <c r="I70" s="1331"/>
      <c r="J70" s="4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row>
    <row r="71" spans="1:52" s="11" customFormat="1" ht="18.75" customHeight="1" x14ac:dyDescent="0.35">
      <c r="A71" s="18"/>
      <c r="B71" s="42"/>
      <c r="C71" s="46"/>
      <c r="D71" s="46"/>
      <c r="E71" s="46"/>
      <c r="F71" s="46"/>
      <c r="G71" s="46"/>
      <c r="H71" s="100"/>
      <c r="I71" s="100"/>
      <c r="J71" s="4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row>
    <row r="72" spans="1:52" s="11" customFormat="1" ht="15.75" customHeight="1" thickBot="1" x14ac:dyDescent="0.4">
      <c r="A72" s="18"/>
      <c r="B72" s="42"/>
      <c r="C72" s="39"/>
      <c r="D72" s="40"/>
      <c r="E72" s="40"/>
      <c r="F72" s="40"/>
      <c r="G72" s="79" t="s">
        <v>223</v>
      </c>
      <c r="H72" s="100"/>
      <c r="I72" s="100"/>
      <c r="J72" s="4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row>
    <row r="73" spans="1:52" s="11" customFormat="1" ht="78" customHeight="1" x14ac:dyDescent="0.35">
      <c r="A73" s="18"/>
      <c r="B73" s="42"/>
      <c r="C73" s="39"/>
      <c r="D73" s="40"/>
      <c r="E73" s="40"/>
      <c r="F73" s="25" t="s">
        <v>224</v>
      </c>
      <c r="G73" s="1319" t="s">
        <v>283</v>
      </c>
      <c r="H73" s="1320"/>
      <c r="I73" s="1321"/>
      <c r="J73" s="4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row>
    <row r="74" spans="1:52" s="11" customFormat="1" ht="54.75" customHeight="1" x14ac:dyDescent="0.35">
      <c r="A74" s="18"/>
      <c r="B74" s="42"/>
      <c r="C74" s="39"/>
      <c r="D74" s="40"/>
      <c r="E74" s="40"/>
      <c r="F74" s="26" t="s">
        <v>225</v>
      </c>
      <c r="G74" s="1322" t="s">
        <v>284</v>
      </c>
      <c r="H74" s="1323"/>
      <c r="I74" s="1324"/>
      <c r="J74" s="4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row>
    <row r="75" spans="1:52" s="11" customFormat="1" ht="58.5" customHeight="1" x14ac:dyDescent="0.35">
      <c r="A75" s="18"/>
      <c r="B75" s="42"/>
      <c r="C75" s="39"/>
      <c r="D75" s="40"/>
      <c r="E75" s="40"/>
      <c r="F75" s="26" t="s">
        <v>226</v>
      </c>
      <c r="G75" s="1322" t="s">
        <v>285</v>
      </c>
      <c r="H75" s="1323"/>
      <c r="I75" s="1324"/>
      <c r="J75" s="4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row>
    <row r="76" spans="1:52" ht="60" customHeight="1" x14ac:dyDescent="0.35">
      <c r="A76" s="19"/>
      <c r="B76" s="42"/>
      <c r="C76" s="39"/>
      <c r="D76" s="40"/>
      <c r="E76" s="40"/>
      <c r="F76" s="26" t="s">
        <v>227</v>
      </c>
      <c r="G76" s="1322" t="s">
        <v>286</v>
      </c>
      <c r="H76" s="1323"/>
      <c r="I76" s="1324"/>
      <c r="J76" s="4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row>
    <row r="77" spans="1:52" ht="54" customHeight="1" x14ac:dyDescent="0.35">
      <c r="A77" s="19"/>
      <c r="B77" s="37"/>
      <c r="C77" s="39"/>
      <c r="D77" s="40"/>
      <c r="E77" s="40"/>
      <c r="F77" s="26" t="s">
        <v>228</v>
      </c>
      <c r="G77" s="1322" t="s">
        <v>287</v>
      </c>
      <c r="H77" s="1323"/>
      <c r="I77" s="1324"/>
      <c r="J77" s="38"/>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row>
    <row r="78" spans="1:52" ht="61.5" customHeight="1" thickBot="1" x14ac:dyDescent="0.4">
      <c r="A78" s="19"/>
      <c r="B78" s="37"/>
      <c r="C78" s="39"/>
      <c r="D78" s="40"/>
      <c r="E78" s="40"/>
      <c r="F78" s="27" t="s">
        <v>229</v>
      </c>
      <c r="G78" s="1316" t="s">
        <v>288</v>
      </c>
      <c r="H78" s="1317"/>
      <c r="I78" s="1318"/>
      <c r="J78" s="38"/>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row>
    <row r="79" spans="1:52" ht="15" thickBot="1" x14ac:dyDescent="0.4">
      <c r="A79" s="19"/>
      <c r="B79" s="47"/>
      <c r="C79" s="48"/>
      <c r="D79" s="49"/>
      <c r="E79" s="49"/>
      <c r="F79" s="49"/>
      <c r="G79" s="49"/>
      <c r="H79" s="101"/>
      <c r="I79" s="101"/>
      <c r="J79" s="50"/>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row>
    <row r="80" spans="1:52" ht="50.15" customHeight="1" x14ac:dyDescent="0.35">
      <c r="A80" s="19"/>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row>
    <row r="81" spans="1:52" ht="50.15" customHeight="1" x14ac:dyDescent="0.35">
      <c r="A81" s="19"/>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row>
    <row r="82" spans="1:52" ht="49.5" customHeight="1" x14ac:dyDescent="0.35">
      <c r="A82" s="19"/>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row>
    <row r="83" spans="1:52" ht="50.15" customHeight="1" x14ac:dyDescent="0.35">
      <c r="A83" s="19"/>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row>
    <row r="84" spans="1:52" ht="50.15" customHeight="1" x14ac:dyDescent="0.35">
      <c r="A84" s="19"/>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row>
    <row r="85" spans="1:52" ht="50.15" customHeight="1" x14ac:dyDescent="0.35">
      <c r="A85" s="19"/>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row>
    <row r="86" spans="1:52" x14ac:dyDescent="0.35">
      <c r="A86" s="19"/>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row>
    <row r="87" spans="1:52" x14ac:dyDescent="0.35">
      <c r="A87" s="19"/>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row>
    <row r="88" spans="1:52" x14ac:dyDescent="0.35">
      <c r="A88" s="19"/>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row>
    <row r="89" spans="1:52" x14ac:dyDescent="0.35">
      <c r="A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row>
    <row r="90" spans="1:52" x14ac:dyDescent="0.35">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row>
    <row r="91" spans="1:52" x14ac:dyDescent="0.35">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row>
    <row r="92" spans="1:52" x14ac:dyDescent="0.35">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row>
    <row r="93" spans="1:52" x14ac:dyDescent="0.35">
      <c r="A93" s="93"/>
      <c r="B93" s="93"/>
      <c r="C93" s="93"/>
      <c r="D93" s="93"/>
      <c r="E93" s="93"/>
      <c r="F93" s="93"/>
      <c r="G93" s="93"/>
      <c r="H93" s="93"/>
      <c r="I93" s="93"/>
      <c r="J93" s="93"/>
      <c r="K93" s="93"/>
    </row>
    <row r="94" spans="1:52" x14ac:dyDescent="0.35">
      <c r="A94" s="93"/>
      <c r="B94" s="93"/>
      <c r="C94" s="93"/>
      <c r="D94" s="93"/>
      <c r="E94" s="93"/>
      <c r="F94" s="93"/>
      <c r="G94" s="93"/>
      <c r="H94" s="93"/>
      <c r="I94" s="93"/>
      <c r="J94" s="93"/>
      <c r="K94" s="93"/>
    </row>
    <row r="95" spans="1:52" x14ac:dyDescent="0.35">
      <c r="A95" s="93"/>
      <c r="B95" s="93"/>
      <c r="C95" s="93"/>
      <c r="D95" s="93"/>
      <c r="E95" s="93"/>
      <c r="F95" s="93"/>
      <c r="G95" s="93"/>
      <c r="H95" s="93"/>
      <c r="I95" s="93"/>
      <c r="J95" s="93"/>
      <c r="K95" s="93"/>
    </row>
    <row r="96" spans="1:52" x14ac:dyDescent="0.35">
      <c r="A96" s="93"/>
      <c r="B96" s="93"/>
      <c r="C96" s="93"/>
      <c r="D96" s="93"/>
      <c r="E96" s="93"/>
      <c r="F96" s="93"/>
      <c r="G96" s="93"/>
      <c r="H96" s="93"/>
      <c r="I96" s="93"/>
      <c r="J96" s="93"/>
      <c r="K96" s="93"/>
    </row>
    <row r="97" spans="1:11" x14ac:dyDescent="0.35">
      <c r="A97" s="93"/>
      <c r="B97" s="93"/>
      <c r="C97" s="93"/>
      <c r="D97" s="93"/>
      <c r="E97" s="93"/>
      <c r="F97" s="93"/>
      <c r="G97" s="93"/>
      <c r="H97" s="93"/>
      <c r="I97" s="93"/>
      <c r="J97" s="93"/>
      <c r="K97" s="93"/>
    </row>
    <row r="98" spans="1:11" x14ac:dyDescent="0.35">
      <c r="A98" s="93"/>
      <c r="B98" s="93"/>
      <c r="C98" s="93"/>
      <c r="D98" s="93"/>
      <c r="E98" s="93"/>
      <c r="F98" s="93"/>
      <c r="G98" s="93"/>
      <c r="H98" s="93"/>
      <c r="I98" s="93"/>
      <c r="J98" s="93"/>
      <c r="K98" s="93"/>
    </row>
    <row r="99" spans="1:11" x14ac:dyDescent="0.35">
      <c r="A99" s="93"/>
      <c r="B99" s="93"/>
      <c r="C99" s="93"/>
      <c r="D99" s="93"/>
      <c r="E99" s="93"/>
      <c r="F99" s="93"/>
      <c r="G99" s="93"/>
      <c r="H99" s="93"/>
      <c r="I99" s="93"/>
      <c r="J99" s="93"/>
      <c r="K99" s="93"/>
    </row>
    <row r="100" spans="1:11" x14ac:dyDescent="0.35">
      <c r="A100" s="93"/>
      <c r="B100" s="93"/>
      <c r="C100" s="93"/>
      <c r="D100" s="93"/>
      <c r="E100" s="93"/>
      <c r="F100" s="93"/>
      <c r="G100" s="93"/>
      <c r="H100" s="93"/>
      <c r="I100" s="93"/>
      <c r="J100" s="93"/>
      <c r="K100" s="93"/>
    </row>
    <row r="101" spans="1:11" x14ac:dyDescent="0.35">
      <c r="A101" s="93"/>
      <c r="B101" s="93"/>
      <c r="C101" s="93"/>
      <c r="D101" s="93"/>
      <c r="E101" s="93"/>
      <c r="F101" s="93"/>
      <c r="G101" s="93"/>
      <c r="H101" s="93"/>
      <c r="I101" s="93"/>
      <c r="J101" s="93"/>
      <c r="K101" s="93"/>
    </row>
    <row r="102" spans="1:11" x14ac:dyDescent="0.35">
      <c r="A102" s="93"/>
      <c r="B102" s="93"/>
      <c r="C102" s="93"/>
      <c r="D102" s="93"/>
      <c r="E102" s="93"/>
      <c r="F102" s="93"/>
      <c r="G102" s="93"/>
      <c r="H102" s="93"/>
      <c r="I102" s="93"/>
      <c r="J102" s="93"/>
      <c r="K102" s="93"/>
    </row>
    <row r="103" spans="1:11" x14ac:dyDescent="0.35">
      <c r="A103" s="93"/>
      <c r="B103" s="93"/>
      <c r="C103" s="93"/>
      <c r="D103" s="93"/>
      <c r="E103" s="93"/>
      <c r="F103" s="93"/>
      <c r="G103" s="93"/>
      <c r="H103" s="93"/>
      <c r="I103" s="93"/>
      <c r="J103" s="93"/>
      <c r="K103" s="93"/>
    </row>
    <row r="104" spans="1:11" x14ac:dyDescent="0.35">
      <c r="A104" s="93"/>
      <c r="B104" s="93"/>
      <c r="C104" s="93"/>
      <c r="D104" s="93"/>
      <c r="E104" s="93"/>
      <c r="F104" s="93"/>
      <c r="G104" s="93"/>
      <c r="H104" s="93"/>
      <c r="I104" s="93"/>
      <c r="J104" s="93"/>
      <c r="K104" s="93"/>
    </row>
    <row r="105" spans="1:11" x14ac:dyDescent="0.35">
      <c r="A105" s="93"/>
      <c r="B105" s="93"/>
      <c r="C105" s="93"/>
      <c r="D105" s="93"/>
      <c r="E105" s="93"/>
      <c r="F105" s="93"/>
      <c r="G105" s="93"/>
      <c r="H105" s="93"/>
      <c r="I105" s="93"/>
      <c r="J105" s="93"/>
      <c r="K105" s="93"/>
    </row>
    <row r="106" spans="1:11" x14ac:dyDescent="0.35">
      <c r="A106" s="93"/>
      <c r="B106" s="93"/>
      <c r="C106" s="93"/>
      <c r="D106" s="93"/>
      <c r="E106" s="93"/>
      <c r="F106" s="93"/>
      <c r="G106" s="93"/>
      <c r="H106" s="93"/>
      <c r="I106" s="93"/>
      <c r="J106" s="93"/>
      <c r="K106" s="93"/>
    </row>
    <row r="107" spans="1:11" x14ac:dyDescent="0.35">
      <c r="A107" s="93"/>
      <c r="B107" s="93"/>
      <c r="C107" s="93"/>
      <c r="D107" s="93"/>
      <c r="E107" s="93"/>
      <c r="F107" s="93"/>
      <c r="G107" s="93"/>
      <c r="H107" s="93"/>
      <c r="I107" s="93"/>
      <c r="J107" s="93"/>
      <c r="K107" s="93"/>
    </row>
    <row r="108" spans="1:11" x14ac:dyDescent="0.35">
      <c r="A108" s="93"/>
      <c r="B108" s="93"/>
      <c r="C108" s="93"/>
      <c r="D108" s="93"/>
      <c r="E108" s="93"/>
      <c r="F108" s="93"/>
      <c r="G108" s="93"/>
      <c r="H108" s="93"/>
      <c r="I108" s="93"/>
      <c r="J108" s="93"/>
      <c r="K108" s="93"/>
    </row>
    <row r="109" spans="1:11" x14ac:dyDescent="0.35">
      <c r="A109" s="93"/>
      <c r="B109" s="93"/>
      <c r="C109" s="93"/>
      <c r="D109" s="93"/>
      <c r="E109" s="93"/>
      <c r="F109" s="93"/>
      <c r="G109" s="93"/>
      <c r="H109" s="93"/>
      <c r="I109" s="93"/>
      <c r="J109" s="93"/>
      <c r="K109" s="93"/>
    </row>
    <row r="110" spans="1:11" x14ac:dyDescent="0.35">
      <c r="A110" s="93"/>
      <c r="B110" s="93"/>
      <c r="C110" s="93"/>
      <c r="D110" s="93"/>
      <c r="E110" s="93"/>
      <c r="F110" s="93"/>
      <c r="G110" s="93"/>
      <c r="H110" s="93"/>
      <c r="I110" s="93"/>
      <c r="J110" s="93"/>
      <c r="K110" s="93"/>
    </row>
    <row r="111" spans="1:11" x14ac:dyDescent="0.35">
      <c r="A111" s="93"/>
      <c r="B111" s="93"/>
      <c r="C111" s="93"/>
      <c r="D111" s="93"/>
      <c r="E111" s="93"/>
      <c r="F111" s="93"/>
      <c r="G111" s="93"/>
      <c r="H111" s="93"/>
      <c r="I111" s="93"/>
      <c r="J111" s="93"/>
      <c r="K111" s="93"/>
    </row>
    <row r="112" spans="1:11" x14ac:dyDescent="0.35">
      <c r="A112" s="93"/>
      <c r="B112" s="93"/>
      <c r="C112" s="93"/>
      <c r="D112" s="93"/>
      <c r="E112" s="93"/>
      <c r="F112" s="93"/>
      <c r="G112" s="93"/>
      <c r="H112" s="93"/>
      <c r="I112" s="93"/>
      <c r="J112" s="93"/>
      <c r="K112" s="93"/>
    </row>
    <row r="113" spans="1:11" x14ac:dyDescent="0.35">
      <c r="A113" s="93"/>
      <c r="B113" s="93"/>
      <c r="C113" s="93"/>
      <c r="D113" s="93"/>
      <c r="E113" s="93"/>
      <c r="F113" s="93"/>
      <c r="G113" s="93"/>
      <c r="H113" s="93"/>
      <c r="I113" s="93"/>
      <c r="J113" s="93"/>
      <c r="K113" s="93"/>
    </row>
    <row r="114" spans="1:11" x14ac:dyDescent="0.35">
      <c r="A114" s="93"/>
      <c r="B114" s="93"/>
      <c r="C114" s="93"/>
      <c r="D114" s="93"/>
      <c r="E114" s="93"/>
      <c r="F114" s="93"/>
      <c r="G114" s="93"/>
      <c r="H114" s="93"/>
      <c r="I114" s="93"/>
      <c r="J114" s="93"/>
      <c r="K114" s="93"/>
    </row>
    <row r="115" spans="1:11" x14ac:dyDescent="0.35">
      <c r="A115" s="93"/>
      <c r="B115" s="93"/>
      <c r="C115" s="93"/>
      <c r="D115" s="93"/>
      <c r="E115" s="93"/>
      <c r="F115" s="93"/>
      <c r="G115" s="93"/>
      <c r="H115" s="93"/>
      <c r="I115" s="93"/>
      <c r="J115" s="93"/>
      <c r="K115" s="93"/>
    </row>
    <row r="116" spans="1:11" x14ac:dyDescent="0.35">
      <c r="A116" s="93"/>
      <c r="B116" s="93"/>
      <c r="C116" s="93"/>
      <c r="D116" s="93"/>
      <c r="E116" s="93"/>
      <c r="F116" s="93"/>
      <c r="G116" s="93"/>
      <c r="H116" s="93"/>
      <c r="I116" s="93"/>
      <c r="J116" s="93"/>
      <c r="K116" s="93"/>
    </row>
    <row r="117" spans="1:11" x14ac:dyDescent="0.35">
      <c r="A117" s="93"/>
      <c r="B117" s="93"/>
      <c r="C117" s="93"/>
      <c r="D117" s="93"/>
      <c r="E117" s="93"/>
      <c r="F117" s="93"/>
      <c r="G117" s="93"/>
      <c r="H117" s="93"/>
      <c r="I117" s="93"/>
      <c r="J117" s="93"/>
      <c r="K117" s="93"/>
    </row>
    <row r="118" spans="1:11" x14ac:dyDescent="0.35">
      <c r="A118" s="93"/>
      <c r="B118" s="93"/>
      <c r="C118" s="93"/>
      <c r="D118" s="93"/>
      <c r="E118" s="93"/>
      <c r="F118" s="93"/>
      <c r="G118" s="93"/>
      <c r="H118" s="93"/>
      <c r="I118" s="93"/>
      <c r="J118" s="93"/>
      <c r="K118" s="93"/>
    </row>
    <row r="119" spans="1:11" x14ac:dyDescent="0.35">
      <c r="A119" s="93"/>
      <c r="B119" s="93"/>
      <c r="C119" s="93"/>
      <c r="D119" s="93"/>
      <c r="E119" s="93"/>
      <c r="F119" s="93"/>
      <c r="G119" s="93"/>
      <c r="H119" s="93"/>
      <c r="I119" s="93"/>
      <c r="J119" s="93"/>
      <c r="K119" s="93"/>
    </row>
    <row r="120" spans="1:11" x14ac:dyDescent="0.35">
      <c r="A120" s="93"/>
      <c r="B120" s="93"/>
      <c r="C120" s="93"/>
      <c r="D120" s="93"/>
      <c r="E120" s="93"/>
      <c r="F120" s="93"/>
      <c r="G120" s="93"/>
      <c r="H120" s="93"/>
      <c r="I120" s="93"/>
      <c r="J120" s="93"/>
      <c r="K120" s="93"/>
    </row>
    <row r="121" spans="1:11" x14ac:dyDescent="0.35">
      <c r="A121" s="93"/>
      <c r="B121" s="93"/>
      <c r="C121" s="93"/>
      <c r="D121" s="93"/>
      <c r="E121" s="93"/>
      <c r="F121" s="93"/>
      <c r="G121" s="93"/>
      <c r="H121" s="93"/>
      <c r="I121" s="93"/>
      <c r="J121" s="93"/>
      <c r="K121" s="93"/>
    </row>
    <row r="122" spans="1:11" x14ac:dyDescent="0.35">
      <c r="A122" s="93"/>
      <c r="B122" s="93"/>
      <c r="C122" s="93"/>
      <c r="D122" s="93"/>
      <c r="E122" s="93"/>
      <c r="F122" s="93"/>
      <c r="G122" s="93"/>
      <c r="H122" s="93"/>
      <c r="I122" s="93"/>
      <c r="J122" s="93"/>
      <c r="K122" s="93"/>
    </row>
    <row r="123" spans="1:11" x14ac:dyDescent="0.35">
      <c r="A123" s="93"/>
      <c r="B123" s="93"/>
      <c r="C123" s="93"/>
      <c r="D123" s="93"/>
      <c r="E123" s="93"/>
      <c r="F123" s="93"/>
      <c r="G123" s="93"/>
      <c r="H123" s="93"/>
      <c r="I123" s="93"/>
      <c r="J123" s="93"/>
      <c r="K123" s="93"/>
    </row>
    <row r="124" spans="1:11" x14ac:dyDescent="0.35">
      <c r="A124" s="93"/>
      <c r="B124" s="93"/>
      <c r="C124" s="93"/>
      <c r="D124" s="93"/>
      <c r="E124" s="93"/>
      <c r="F124" s="93"/>
      <c r="G124" s="93"/>
      <c r="H124" s="93"/>
      <c r="I124" s="93"/>
      <c r="J124" s="93"/>
      <c r="K124" s="93"/>
    </row>
    <row r="125" spans="1:11" x14ac:dyDescent="0.35">
      <c r="A125" s="93"/>
      <c r="B125" s="93"/>
      <c r="C125" s="93"/>
      <c r="D125" s="93"/>
      <c r="E125" s="93"/>
      <c r="F125" s="93"/>
      <c r="G125" s="93"/>
      <c r="H125" s="93"/>
      <c r="I125" s="93"/>
      <c r="J125" s="93"/>
      <c r="K125" s="93"/>
    </row>
    <row r="126" spans="1:11" x14ac:dyDescent="0.35">
      <c r="A126" s="93"/>
      <c r="B126" s="93"/>
      <c r="C126" s="93"/>
      <c r="D126" s="93"/>
      <c r="E126" s="93"/>
      <c r="F126" s="93"/>
      <c r="G126" s="93"/>
      <c r="H126" s="93"/>
      <c r="I126" s="93"/>
      <c r="J126" s="93"/>
      <c r="K126" s="93"/>
    </row>
    <row r="127" spans="1:11" x14ac:dyDescent="0.35">
      <c r="A127" s="93"/>
      <c r="B127" s="93"/>
      <c r="C127" s="93"/>
      <c r="D127" s="93"/>
      <c r="E127" s="93"/>
      <c r="F127" s="93"/>
      <c r="G127" s="93"/>
      <c r="H127" s="93"/>
      <c r="I127" s="93"/>
      <c r="J127" s="93"/>
      <c r="K127" s="93"/>
    </row>
    <row r="128" spans="1:11" x14ac:dyDescent="0.35">
      <c r="A128" s="93"/>
      <c r="B128" s="93"/>
      <c r="H128" s="93"/>
      <c r="I128" s="93"/>
      <c r="J128" s="93"/>
      <c r="K128" s="93"/>
    </row>
    <row r="129" spans="1:11" x14ac:dyDescent="0.35">
      <c r="A129" s="93"/>
      <c r="B129" s="93"/>
      <c r="H129" s="93"/>
      <c r="I129" s="93"/>
      <c r="J129" s="93"/>
      <c r="K129" s="93"/>
    </row>
    <row r="130" spans="1:11" x14ac:dyDescent="0.35">
      <c r="A130" s="93"/>
      <c r="B130" s="93"/>
      <c r="H130" s="93"/>
      <c r="I130" s="93"/>
      <c r="J130" s="93"/>
      <c r="K130" s="93"/>
    </row>
    <row r="131" spans="1:11" x14ac:dyDescent="0.35">
      <c r="A131" s="93"/>
      <c r="B131" s="93"/>
      <c r="H131" s="93"/>
      <c r="I131" s="93"/>
      <c r="J131" s="93"/>
      <c r="K131" s="93"/>
    </row>
    <row r="132" spans="1:11" x14ac:dyDescent="0.35">
      <c r="A132" s="93"/>
      <c r="B132" s="93"/>
      <c r="H132" s="93"/>
      <c r="I132" s="93"/>
      <c r="J132" s="93"/>
      <c r="K132" s="93"/>
    </row>
    <row r="133" spans="1:11" x14ac:dyDescent="0.35">
      <c r="A133" s="93"/>
      <c r="B133" s="93"/>
      <c r="H133" s="93"/>
      <c r="I133" s="93"/>
      <c r="J133" s="93"/>
      <c r="K133" s="93"/>
    </row>
    <row r="134" spans="1:11" x14ac:dyDescent="0.35">
      <c r="A134" s="93"/>
      <c r="B134" s="93"/>
      <c r="H134" s="93"/>
      <c r="I134" s="93"/>
      <c r="J134" s="93"/>
      <c r="K134" s="93"/>
    </row>
    <row r="135" spans="1:11" x14ac:dyDescent="0.35">
      <c r="A135" s="93"/>
      <c r="B135" s="93"/>
      <c r="H135" s="93"/>
      <c r="I135" s="93"/>
      <c r="J135" s="93"/>
      <c r="K135" s="93"/>
    </row>
    <row r="136" spans="1:11" x14ac:dyDescent="0.35">
      <c r="A136" s="93"/>
      <c r="B136" s="93"/>
      <c r="H136" s="93"/>
      <c r="I136" s="93"/>
      <c r="J136" s="93"/>
      <c r="K136" s="93"/>
    </row>
    <row r="137" spans="1:11" x14ac:dyDescent="0.35">
      <c r="B137" s="93"/>
      <c r="J137" s="93"/>
    </row>
  </sheetData>
  <mergeCells count="71">
    <mergeCell ref="D45:E45"/>
    <mergeCell ref="F45:G45"/>
    <mergeCell ref="F41:G41"/>
    <mergeCell ref="D42:I42"/>
    <mergeCell ref="D43:E43"/>
    <mergeCell ref="F43:G43"/>
    <mergeCell ref="D44:I44"/>
    <mergeCell ref="C34:C35"/>
    <mergeCell ref="D34:I34"/>
    <mergeCell ref="D35:E35"/>
    <mergeCell ref="F35:G35"/>
    <mergeCell ref="D36:I36"/>
    <mergeCell ref="D8:I8"/>
    <mergeCell ref="C8:C9"/>
    <mergeCell ref="D10:I10"/>
    <mergeCell ref="F11:G11"/>
    <mergeCell ref="D28:I31"/>
    <mergeCell ref="D11:E11"/>
    <mergeCell ref="D12:I12"/>
    <mergeCell ref="D14:I14"/>
    <mergeCell ref="D15:E15"/>
    <mergeCell ref="F15:G15"/>
    <mergeCell ref="D16:I16"/>
    <mergeCell ref="D17:E17"/>
    <mergeCell ref="F17:G17"/>
    <mergeCell ref="D18:I18"/>
    <mergeCell ref="D19:E19"/>
    <mergeCell ref="F19:G19"/>
    <mergeCell ref="D33:E33"/>
    <mergeCell ref="F33:G33"/>
    <mergeCell ref="D37:E37"/>
    <mergeCell ref="F37:G37"/>
    <mergeCell ref="D38:I38"/>
    <mergeCell ref="D39:E39"/>
    <mergeCell ref="F39:G39"/>
    <mergeCell ref="D40:I40"/>
    <mergeCell ref="D41:E41"/>
    <mergeCell ref="C3:I3"/>
    <mergeCell ref="C4:I4"/>
    <mergeCell ref="C27:H27"/>
    <mergeCell ref="D9:E9"/>
    <mergeCell ref="D13:E13"/>
    <mergeCell ref="D7:E7"/>
    <mergeCell ref="F7:G7"/>
    <mergeCell ref="F13:G13"/>
    <mergeCell ref="F9:G9"/>
    <mergeCell ref="E23:H23"/>
    <mergeCell ref="E24:H24"/>
    <mergeCell ref="D22:I22"/>
    <mergeCell ref="G78:I78"/>
    <mergeCell ref="F63:G63"/>
    <mergeCell ref="G73:I73"/>
    <mergeCell ref="G74:I74"/>
    <mergeCell ref="G75:I75"/>
    <mergeCell ref="G76:I76"/>
    <mergeCell ref="G77:I77"/>
    <mergeCell ref="E68:H68"/>
    <mergeCell ref="D63:E63"/>
    <mergeCell ref="F64:G64"/>
    <mergeCell ref="E67:H67"/>
    <mergeCell ref="D70:E70"/>
    <mergeCell ref="F70:I70"/>
    <mergeCell ref="E48:H48"/>
    <mergeCell ref="E49:H49"/>
    <mergeCell ref="D61:E61"/>
    <mergeCell ref="D64:E64"/>
    <mergeCell ref="F61:G61"/>
    <mergeCell ref="D62:E62"/>
    <mergeCell ref="F62:G62"/>
    <mergeCell ref="C51:H51"/>
    <mergeCell ref="D52:I55"/>
  </mergeCells>
  <hyperlinks>
    <hyperlink ref="E24" r:id="rId1" xr:uid="{00000000-0004-0000-0B00-000000000000}"/>
  </hyperlinks>
  <pageMargins left="0.2" right="0.21" top="0.17" bottom="0.17" header="0.17" footer="0.17"/>
  <pageSetup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E29"/>
  <sheetViews>
    <sheetView topLeftCell="A11" zoomScale="90" zoomScaleNormal="90" workbookViewId="0">
      <selection activeCell="D11" sqref="D11"/>
    </sheetView>
  </sheetViews>
  <sheetFormatPr defaultColWidth="9.1796875" defaultRowHeight="14.5" x14ac:dyDescent="0.35"/>
  <cols>
    <col min="1" max="1" width="1.453125" customWidth="1"/>
    <col min="2" max="2" width="2" customWidth="1"/>
    <col min="3" max="3" width="43" customWidth="1"/>
    <col min="4" max="4" width="50.453125" customWidth="1"/>
    <col min="5" max="5" width="2.453125" customWidth="1"/>
    <col min="6" max="6" width="1.453125" customWidth="1"/>
  </cols>
  <sheetData>
    <row r="1" spans="2:5" ht="15" thickBot="1" x14ac:dyDescent="0.4"/>
    <row r="2" spans="2:5" ht="15" thickBot="1" x14ac:dyDescent="0.4">
      <c r="B2" s="108"/>
      <c r="C2" s="61"/>
      <c r="D2" s="61"/>
      <c r="E2" s="62"/>
    </row>
    <row r="3" spans="2:5" ht="18" thickBot="1" x14ac:dyDescent="0.4">
      <c r="B3" s="109"/>
      <c r="C3" s="1358" t="s">
        <v>254</v>
      </c>
      <c r="D3" s="1359"/>
      <c r="E3" s="110"/>
    </row>
    <row r="4" spans="2:5" x14ac:dyDescent="0.35">
      <c r="B4" s="109"/>
      <c r="C4" s="111"/>
      <c r="D4" s="111"/>
      <c r="E4" s="110"/>
    </row>
    <row r="5" spans="2:5" ht="15" thickBot="1" x14ac:dyDescent="0.4">
      <c r="B5" s="109"/>
      <c r="C5" s="112" t="s">
        <v>291</v>
      </c>
      <c r="D5" s="111"/>
      <c r="E5" s="110"/>
    </row>
    <row r="6" spans="2:5" ht="15" thickBot="1" x14ac:dyDescent="0.4">
      <c r="B6" s="109"/>
      <c r="C6" s="118" t="s">
        <v>255</v>
      </c>
      <c r="D6" s="119" t="s">
        <v>256</v>
      </c>
      <c r="E6" s="110"/>
    </row>
    <row r="7" spans="2:5" ht="125.25" customHeight="1" thickBot="1" x14ac:dyDescent="0.4">
      <c r="B7" s="109"/>
      <c r="C7" s="113" t="s">
        <v>295</v>
      </c>
      <c r="D7" s="613" t="s">
        <v>1183</v>
      </c>
      <c r="E7" s="110"/>
    </row>
    <row r="8" spans="2:5" ht="144" customHeight="1" thickBot="1" x14ac:dyDescent="0.4">
      <c r="B8" s="109"/>
      <c r="C8" s="114" t="s">
        <v>296</v>
      </c>
      <c r="D8" s="614" t="s">
        <v>1191</v>
      </c>
      <c r="E8" s="110"/>
    </row>
    <row r="9" spans="2:5" ht="48.75" customHeight="1" thickBot="1" x14ac:dyDescent="0.4">
      <c r="B9" s="109"/>
      <c r="C9" s="115" t="s">
        <v>257</v>
      </c>
      <c r="D9" s="615" t="s">
        <v>851</v>
      </c>
      <c r="E9" s="110"/>
    </row>
    <row r="10" spans="2:5" ht="146.25" customHeight="1" thickBot="1" x14ac:dyDescent="0.4">
      <c r="B10" s="109"/>
      <c r="C10" s="113" t="s">
        <v>270</v>
      </c>
      <c r="D10" s="613" t="s">
        <v>1184</v>
      </c>
      <c r="E10" s="110"/>
    </row>
    <row r="11" spans="2:5" x14ac:dyDescent="0.35">
      <c r="B11" s="109"/>
      <c r="C11" s="111"/>
      <c r="D11" s="111"/>
      <c r="E11" s="110"/>
    </row>
    <row r="12" spans="2:5" ht="15" thickBot="1" x14ac:dyDescent="0.4">
      <c r="B12" s="109"/>
      <c r="C12" s="1360" t="s">
        <v>292</v>
      </c>
      <c r="D12" s="1360"/>
      <c r="E12" s="110"/>
    </row>
    <row r="13" spans="2:5" ht="15" thickBot="1" x14ac:dyDescent="0.4">
      <c r="B13" s="109"/>
      <c r="C13" s="120" t="s">
        <v>258</v>
      </c>
      <c r="D13" s="120" t="s">
        <v>256</v>
      </c>
      <c r="E13" s="110"/>
    </row>
    <row r="14" spans="2:5" ht="15" thickBot="1" x14ac:dyDescent="0.4">
      <c r="B14" s="109"/>
      <c r="C14" s="1357" t="s">
        <v>293</v>
      </c>
      <c r="D14" s="1357"/>
      <c r="E14" s="110"/>
    </row>
    <row r="15" spans="2:5" ht="79" customHeight="1" thickBot="1" x14ac:dyDescent="0.4">
      <c r="B15" s="109"/>
      <c r="C15" s="115" t="s">
        <v>297</v>
      </c>
      <c r="D15" s="115" t="s">
        <v>1359</v>
      </c>
      <c r="E15" s="110"/>
    </row>
    <row r="16" spans="2:5" ht="91" customHeight="1" thickBot="1" x14ac:dyDescent="0.4">
      <c r="B16" s="109"/>
      <c r="C16" s="115" t="s">
        <v>298</v>
      </c>
      <c r="D16" s="115" t="s">
        <v>1353</v>
      </c>
      <c r="E16" s="110"/>
    </row>
    <row r="17" spans="2:5" ht="15" thickBot="1" x14ac:dyDescent="0.4">
      <c r="B17" s="109"/>
      <c r="C17" s="1357" t="s">
        <v>294</v>
      </c>
      <c r="D17" s="1357"/>
      <c r="E17" s="110"/>
    </row>
    <row r="18" spans="2:5" ht="90.65" customHeight="1" thickBot="1" x14ac:dyDescent="0.4">
      <c r="B18" s="109"/>
      <c r="C18" s="115" t="s">
        <v>299</v>
      </c>
      <c r="D18" s="115" t="s">
        <v>1351</v>
      </c>
      <c r="E18" s="110"/>
    </row>
    <row r="19" spans="2:5" ht="84.5" thickBot="1" x14ac:dyDescent="0.4">
      <c r="B19" s="109"/>
      <c r="C19" s="115" t="s">
        <v>290</v>
      </c>
      <c r="D19" s="115" t="s">
        <v>1352</v>
      </c>
      <c r="E19" s="110"/>
    </row>
    <row r="20" spans="2:5" ht="15" thickBot="1" x14ac:dyDescent="0.4">
      <c r="B20" s="109"/>
      <c r="C20" s="1357" t="s">
        <v>259</v>
      </c>
      <c r="D20" s="1357"/>
      <c r="E20" s="110"/>
    </row>
    <row r="21" spans="2:5" ht="64" customHeight="1" thickBot="1" x14ac:dyDescent="0.4">
      <c r="B21" s="109"/>
      <c r="C21" s="116" t="s">
        <v>260</v>
      </c>
      <c r="D21" s="116" t="s">
        <v>1355</v>
      </c>
      <c r="E21" s="110"/>
    </row>
    <row r="22" spans="2:5" ht="70.5" thickBot="1" x14ac:dyDescent="0.4">
      <c r="B22" s="109"/>
      <c r="C22" s="116" t="s">
        <v>261</v>
      </c>
      <c r="D22" s="116" t="s">
        <v>1356</v>
      </c>
      <c r="E22" s="110"/>
    </row>
    <row r="23" spans="2:5" ht="28.5" thickBot="1" x14ac:dyDescent="0.4">
      <c r="B23" s="109"/>
      <c r="C23" s="116" t="s">
        <v>262</v>
      </c>
      <c r="D23" s="116"/>
      <c r="E23" s="110"/>
    </row>
    <row r="24" spans="2:5" ht="15" thickBot="1" x14ac:dyDescent="0.4">
      <c r="B24" s="109"/>
      <c r="C24" s="1357" t="s">
        <v>263</v>
      </c>
      <c r="D24" s="1357"/>
      <c r="E24" s="110"/>
    </row>
    <row r="25" spans="2:5" ht="56.5" thickBot="1" x14ac:dyDescent="0.4">
      <c r="B25" s="109"/>
      <c r="C25" s="115" t="s">
        <v>300</v>
      </c>
      <c r="D25" s="115" t="s">
        <v>1354</v>
      </c>
      <c r="E25" s="110"/>
    </row>
    <row r="26" spans="2:5" ht="44.15" customHeight="1" thickBot="1" x14ac:dyDescent="0.4">
      <c r="B26" s="109"/>
      <c r="C26" s="115" t="s">
        <v>301</v>
      </c>
      <c r="D26" s="115" t="s">
        <v>1357</v>
      </c>
      <c r="E26" s="110"/>
    </row>
    <row r="27" spans="2:5" ht="70.5" thickBot="1" x14ac:dyDescent="0.4">
      <c r="B27" s="109"/>
      <c r="C27" s="115" t="s">
        <v>264</v>
      </c>
      <c r="D27" s="893" t="s">
        <v>1358</v>
      </c>
      <c r="E27" s="110"/>
    </row>
    <row r="28" spans="2:5" ht="42.5" thickBot="1" x14ac:dyDescent="0.4">
      <c r="B28" s="109"/>
      <c r="C28" s="115" t="s">
        <v>302</v>
      </c>
      <c r="D28" s="893" t="s">
        <v>1360</v>
      </c>
      <c r="E28" s="110"/>
    </row>
    <row r="29" spans="2:5" ht="15" thickBot="1" x14ac:dyDescent="0.4">
      <c r="B29" s="140"/>
      <c r="C29" s="117"/>
      <c r="D29" s="117"/>
      <c r="E29" s="141"/>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S321"/>
  <sheetViews>
    <sheetView showGridLines="0" zoomScale="80" zoomScaleNormal="80" workbookViewId="0">
      <selection activeCell="A2" sqref="A2:XFD5"/>
    </sheetView>
  </sheetViews>
  <sheetFormatPr defaultColWidth="9.1796875" defaultRowHeight="14.5" outlineLevelRow="1" x14ac:dyDescent="0.35"/>
  <cols>
    <col min="1" max="1" width="3" style="143" customWidth="1"/>
    <col min="2" max="2" width="28.54296875" style="143" customWidth="1"/>
    <col min="3" max="3" width="50.54296875" style="143" customWidth="1"/>
    <col min="4" max="4" width="34.453125" style="143" customWidth="1"/>
    <col min="5" max="5" width="32" style="143" customWidth="1"/>
    <col min="6" max="6" width="26.54296875" style="143" customWidth="1"/>
    <col min="7" max="7" width="26.453125" style="143" bestFit="1" customWidth="1"/>
    <col min="8" max="8" width="30" style="143" customWidth="1"/>
    <col min="9" max="9" width="26.1796875" style="143" customWidth="1"/>
    <col min="10" max="10" width="25.81640625" style="143" customWidth="1"/>
    <col min="11" max="11" width="31" style="143" bestFit="1" customWidth="1"/>
    <col min="12" max="12" width="30.453125" style="143" customWidth="1"/>
    <col min="13" max="13" width="27.1796875" style="143" bestFit="1" customWidth="1"/>
    <col min="14" max="14" width="25" style="143" customWidth="1"/>
    <col min="15" max="15" width="25.81640625" style="143" bestFit="1" customWidth="1"/>
    <col min="16" max="16" width="30.453125" style="143" customWidth="1"/>
    <col min="17" max="17" width="27.1796875" style="143" bestFit="1" customWidth="1"/>
    <col min="18" max="18" width="24.453125" style="143" customWidth="1"/>
    <col min="19" max="19" width="23.1796875" style="143" bestFit="1" customWidth="1"/>
    <col min="20" max="20" width="27.54296875" style="143" customWidth="1"/>
    <col min="21" max="16384" width="9.1796875" style="143"/>
  </cols>
  <sheetData>
    <row r="1" spans="2:19" ht="15" thickBot="1" x14ac:dyDescent="0.4"/>
    <row r="2" spans="2:19" ht="26" x14ac:dyDescent="0.35">
      <c r="B2" s="90"/>
      <c r="C2" s="1378"/>
      <c r="D2" s="1378"/>
      <c r="E2" s="1378"/>
      <c r="F2" s="1378"/>
      <c r="G2" s="1378"/>
      <c r="H2" s="84"/>
      <c r="I2" s="84"/>
      <c r="J2" s="84"/>
      <c r="K2" s="84"/>
      <c r="L2" s="84"/>
      <c r="M2" s="84"/>
      <c r="N2" s="84"/>
      <c r="O2" s="84"/>
      <c r="P2" s="84"/>
      <c r="Q2" s="84"/>
      <c r="R2" s="84"/>
      <c r="S2" s="85"/>
    </row>
    <row r="3" spans="2:19" ht="26" x14ac:dyDescent="0.35">
      <c r="B3" s="91"/>
      <c r="C3" s="1384" t="s">
        <v>281</v>
      </c>
      <c r="D3" s="1385"/>
      <c r="E3" s="1385"/>
      <c r="F3" s="1385"/>
      <c r="G3" s="1386"/>
      <c r="H3" s="87"/>
      <c r="I3" s="87"/>
      <c r="J3" s="87"/>
      <c r="K3" s="87"/>
      <c r="L3" s="87"/>
      <c r="M3" s="87"/>
      <c r="N3" s="87"/>
      <c r="O3" s="87"/>
      <c r="P3" s="87"/>
      <c r="Q3" s="87"/>
      <c r="R3" s="87"/>
      <c r="S3" s="89"/>
    </row>
    <row r="4" spans="2:19" ht="26" x14ac:dyDescent="0.35">
      <c r="B4" s="91"/>
      <c r="C4" s="92"/>
      <c r="D4" s="92"/>
      <c r="E4" s="92"/>
      <c r="F4" s="92"/>
      <c r="G4" s="92"/>
      <c r="H4" s="87"/>
      <c r="I4" s="87"/>
      <c r="J4" s="87"/>
      <c r="K4" s="87"/>
      <c r="L4" s="87"/>
      <c r="M4" s="87"/>
      <c r="N4" s="87"/>
      <c r="O4" s="87"/>
      <c r="P4" s="87"/>
      <c r="Q4" s="87"/>
      <c r="R4" s="87"/>
      <c r="S4" s="89"/>
    </row>
    <row r="5" spans="2:19" ht="15" thickBot="1" x14ac:dyDescent="0.4">
      <c r="B5" s="86"/>
      <c r="C5" s="87"/>
      <c r="D5" s="87"/>
      <c r="E5" s="87"/>
      <c r="F5" s="87"/>
      <c r="G5" s="87"/>
      <c r="H5" s="87"/>
      <c r="I5" s="87"/>
      <c r="J5" s="87"/>
      <c r="K5" s="87"/>
      <c r="L5" s="87"/>
      <c r="M5" s="87"/>
      <c r="N5" s="87"/>
      <c r="O5" s="87"/>
      <c r="P5" s="87"/>
      <c r="Q5" s="87"/>
      <c r="R5" s="87"/>
      <c r="S5" s="89"/>
    </row>
    <row r="6" spans="2:19" ht="34.5" customHeight="1" thickBot="1" x14ac:dyDescent="0.4">
      <c r="B6" s="1379" t="s">
        <v>592</v>
      </c>
      <c r="C6" s="1380"/>
      <c r="D6" s="1380"/>
      <c r="E6" s="1380"/>
      <c r="F6" s="1380"/>
      <c r="G6" s="1380"/>
      <c r="H6" s="238"/>
      <c r="I6" s="238"/>
      <c r="J6" s="238"/>
      <c r="K6" s="238"/>
      <c r="L6" s="238"/>
      <c r="M6" s="238"/>
      <c r="N6" s="238"/>
      <c r="O6" s="238"/>
      <c r="P6" s="238"/>
      <c r="Q6" s="238"/>
      <c r="R6" s="238"/>
      <c r="S6" s="239"/>
    </row>
    <row r="7" spans="2:19" ht="15.75" customHeight="1" x14ac:dyDescent="0.35">
      <c r="B7" s="1379" t="s">
        <v>654</v>
      </c>
      <c r="C7" s="1381"/>
      <c r="D7" s="1381"/>
      <c r="E7" s="1381"/>
      <c r="F7" s="1381"/>
      <c r="G7" s="1381"/>
      <c r="H7" s="238"/>
      <c r="I7" s="238"/>
      <c r="J7" s="238"/>
      <c r="K7" s="238"/>
      <c r="L7" s="238"/>
      <c r="M7" s="238"/>
      <c r="N7" s="238"/>
      <c r="O7" s="238"/>
      <c r="P7" s="238"/>
      <c r="Q7" s="238"/>
      <c r="R7" s="238"/>
      <c r="S7" s="239"/>
    </row>
    <row r="8" spans="2:19" ht="15.75" customHeight="1" thickBot="1" x14ac:dyDescent="0.4">
      <c r="B8" s="1382" t="s">
        <v>236</v>
      </c>
      <c r="C8" s="1383"/>
      <c r="D8" s="1383"/>
      <c r="E8" s="1383"/>
      <c r="F8" s="1383"/>
      <c r="G8" s="1383"/>
      <c r="H8" s="240"/>
      <c r="I8" s="240"/>
      <c r="J8" s="240"/>
      <c r="K8" s="240"/>
      <c r="L8" s="240"/>
      <c r="M8" s="240"/>
      <c r="N8" s="240"/>
      <c r="O8" s="240"/>
      <c r="P8" s="240"/>
      <c r="Q8" s="240"/>
      <c r="R8" s="240"/>
      <c r="S8" s="241"/>
    </row>
    <row r="10" spans="2:19" ht="21" x14ac:dyDescent="0.5">
      <c r="B10" s="1466" t="s">
        <v>305</v>
      </c>
      <c r="C10" s="1466"/>
    </row>
    <row r="11" spans="2:19" ht="15" thickBot="1" x14ac:dyDescent="0.4"/>
    <row r="12" spans="2:19" ht="15" customHeight="1" thickBot="1" x14ac:dyDescent="0.4">
      <c r="B12" s="244" t="s">
        <v>306</v>
      </c>
      <c r="C12" s="144"/>
    </row>
    <row r="13" spans="2:19" ht="15.75" customHeight="1" thickBot="1" x14ac:dyDescent="0.4">
      <c r="B13" s="244" t="s">
        <v>273</v>
      </c>
      <c r="C13" s="144"/>
    </row>
    <row r="14" spans="2:19" ht="15.75" customHeight="1" thickBot="1" x14ac:dyDescent="0.4">
      <c r="B14" s="244" t="s">
        <v>655</v>
      </c>
      <c r="C14" s="144"/>
    </row>
    <row r="15" spans="2:19" ht="15.75" customHeight="1" thickBot="1" x14ac:dyDescent="0.4">
      <c r="B15" s="244" t="s">
        <v>307</v>
      </c>
      <c r="C15" s="280" t="s">
        <v>126</v>
      </c>
    </row>
    <row r="16" spans="2:19" ht="15" thickBot="1" x14ac:dyDescent="0.4">
      <c r="B16" s="244" t="s">
        <v>308</v>
      </c>
      <c r="C16" s="144"/>
    </row>
    <row r="17" spans="2:19" ht="15" thickBot="1" x14ac:dyDescent="0.4">
      <c r="B17" s="244" t="s">
        <v>309</v>
      </c>
      <c r="C17" s="144"/>
    </row>
    <row r="18" spans="2:19" ht="15" thickBot="1" x14ac:dyDescent="0.4"/>
    <row r="19" spans="2:19" ht="15" thickBot="1" x14ac:dyDescent="0.4">
      <c r="D19" s="1406" t="s">
        <v>310</v>
      </c>
      <c r="E19" s="1407"/>
      <c r="F19" s="1407"/>
      <c r="G19" s="1408"/>
      <c r="H19" s="1406" t="s">
        <v>311</v>
      </c>
      <c r="I19" s="1407"/>
      <c r="J19" s="1407"/>
      <c r="K19" s="1408"/>
      <c r="L19" s="1406" t="s">
        <v>312</v>
      </c>
      <c r="M19" s="1407"/>
      <c r="N19" s="1407"/>
      <c r="O19" s="1408"/>
      <c r="P19" s="1406" t="s">
        <v>313</v>
      </c>
      <c r="Q19" s="1407"/>
      <c r="R19" s="1407"/>
      <c r="S19" s="1408"/>
    </row>
    <row r="20" spans="2:19" ht="45" customHeight="1" thickBot="1" x14ac:dyDescent="0.4">
      <c r="B20" s="1399" t="s">
        <v>314</v>
      </c>
      <c r="C20" s="1467" t="s">
        <v>315</v>
      </c>
      <c r="D20" s="145"/>
      <c r="E20" s="146" t="s">
        <v>316</v>
      </c>
      <c r="F20" s="147" t="s">
        <v>317</v>
      </c>
      <c r="G20" s="148" t="s">
        <v>318</v>
      </c>
      <c r="H20" s="145"/>
      <c r="I20" s="146" t="s">
        <v>316</v>
      </c>
      <c r="J20" s="147" t="s">
        <v>317</v>
      </c>
      <c r="K20" s="148" t="s">
        <v>318</v>
      </c>
      <c r="L20" s="145"/>
      <c r="M20" s="146" t="s">
        <v>316</v>
      </c>
      <c r="N20" s="147" t="s">
        <v>317</v>
      </c>
      <c r="O20" s="148" t="s">
        <v>318</v>
      </c>
      <c r="P20" s="145"/>
      <c r="Q20" s="146" t="s">
        <v>316</v>
      </c>
      <c r="R20" s="147" t="s">
        <v>317</v>
      </c>
      <c r="S20" s="148" t="s">
        <v>318</v>
      </c>
    </row>
    <row r="21" spans="2:19" ht="40.5" customHeight="1" x14ac:dyDescent="0.35">
      <c r="B21" s="1434"/>
      <c r="C21" s="1468"/>
      <c r="D21" s="149" t="s">
        <v>319</v>
      </c>
      <c r="E21" s="150"/>
      <c r="F21" s="151"/>
      <c r="G21" s="152"/>
      <c r="H21" s="153" t="s">
        <v>319</v>
      </c>
      <c r="I21" s="154"/>
      <c r="J21" s="155"/>
      <c r="K21" s="156"/>
      <c r="L21" s="149" t="s">
        <v>319</v>
      </c>
      <c r="M21" s="154"/>
      <c r="N21" s="155"/>
      <c r="O21" s="156"/>
      <c r="P21" s="149" t="s">
        <v>319</v>
      </c>
      <c r="Q21" s="154"/>
      <c r="R21" s="155"/>
      <c r="S21" s="156"/>
    </row>
    <row r="22" spans="2:19" ht="39.75" customHeight="1" x14ac:dyDescent="0.35">
      <c r="B22" s="1434"/>
      <c r="C22" s="1468"/>
      <c r="D22" s="157" t="s">
        <v>320</v>
      </c>
      <c r="E22" s="158"/>
      <c r="F22" s="158"/>
      <c r="G22" s="159"/>
      <c r="H22" s="160" t="s">
        <v>320</v>
      </c>
      <c r="I22" s="161"/>
      <c r="J22" s="161"/>
      <c r="K22" s="162"/>
      <c r="L22" s="157" t="s">
        <v>320</v>
      </c>
      <c r="M22" s="161"/>
      <c r="N22" s="161"/>
      <c r="O22" s="162"/>
      <c r="P22" s="157" t="s">
        <v>320</v>
      </c>
      <c r="Q22" s="161"/>
      <c r="R22" s="161"/>
      <c r="S22" s="162"/>
    </row>
    <row r="23" spans="2:19" ht="37.5" customHeight="1" x14ac:dyDescent="0.35">
      <c r="B23" s="1400"/>
      <c r="C23" s="1469"/>
      <c r="D23" s="157" t="s">
        <v>321</v>
      </c>
      <c r="E23" s="158"/>
      <c r="F23" s="158"/>
      <c r="G23" s="159"/>
      <c r="H23" s="160" t="s">
        <v>321</v>
      </c>
      <c r="I23" s="161"/>
      <c r="J23" s="161"/>
      <c r="K23" s="162"/>
      <c r="L23" s="157" t="s">
        <v>321</v>
      </c>
      <c r="M23" s="161"/>
      <c r="N23" s="161"/>
      <c r="O23" s="162"/>
      <c r="P23" s="157" t="s">
        <v>321</v>
      </c>
      <c r="Q23" s="161"/>
      <c r="R23" s="161"/>
      <c r="S23" s="162"/>
    </row>
    <row r="24" spans="2:19" ht="15" thickBot="1" x14ac:dyDescent="0.4">
      <c r="B24" s="163"/>
      <c r="C24" s="163"/>
      <c r="Q24" s="164"/>
      <c r="R24" s="164"/>
      <c r="S24" s="164"/>
    </row>
    <row r="25" spans="2:19" ht="30" customHeight="1" thickBot="1" x14ac:dyDescent="0.4">
      <c r="B25" s="163"/>
      <c r="C25" s="163"/>
      <c r="D25" s="1406" t="s">
        <v>310</v>
      </c>
      <c r="E25" s="1407"/>
      <c r="F25" s="1407"/>
      <c r="G25" s="1408"/>
      <c r="H25" s="1406" t="s">
        <v>311</v>
      </c>
      <c r="I25" s="1407"/>
      <c r="J25" s="1407"/>
      <c r="K25" s="1408"/>
      <c r="L25" s="1406" t="s">
        <v>312</v>
      </c>
      <c r="M25" s="1407"/>
      <c r="N25" s="1407"/>
      <c r="O25" s="1408"/>
      <c r="P25" s="1406" t="s">
        <v>313</v>
      </c>
      <c r="Q25" s="1407"/>
      <c r="R25" s="1407"/>
      <c r="S25" s="1408"/>
    </row>
    <row r="26" spans="2:19" ht="47.25" customHeight="1" x14ac:dyDescent="0.35">
      <c r="B26" s="1399" t="s">
        <v>714</v>
      </c>
      <c r="C26" s="1399" t="s">
        <v>322</v>
      </c>
      <c r="D26" s="1446" t="s">
        <v>323</v>
      </c>
      <c r="E26" s="1447"/>
      <c r="F26" s="165" t="s">
        <v>324</v>
      </c>
      <c r="G26" s="166" t="s">
        <v>325</v>
      </c>
      <c r="H26" s="1446" t="s">
        <v>323</v>
      </c>
      <c r="I26" s="1447"/>
      <c r="J26" s="165" t="s">
        <v>324</v>
      </c>
      <c r="K26" s="166" t="s">
        <v>325</v>
      </c>
      <c r="L26" s="1446" t="s">
        <v>323</v>
      </c>
      <c r="M26" s="1447"/>
      <c r="N26" s="165" t="s">
        <v>324</v>
      </c>
      <c r="O26" s="166" t="s">
        <v>325</v>
      </c>
      <c r="P26" s="1446" t="s">
        <v>323</v>
      </c>
      <c r="Q26" s="1447"/>
      <c r="R26" s="165" t="s">
        <v>324</v>
      </c>
      <c r="S26" s="166" t="s">
        <v>325</v>
      </c>
    </row>
    <row r="27" spans="2:19" ht="51" customHeight="1" x14ac:dyDescent="0.35">
      <c r="B27" s="1434"/>
      <c r="C27" s="1434"/>
      <c r="D27" s="167" t="s">
        <v>319</v>
      </c>
      <c r="E27" s="168"/>
      <c r="F27" s="1454"/>
      <c r="G27" s="1456"/>
      <c r="H27" s="167" t="s">
        <v>319</v>
      </c>
      <c r="I27" s="169"/>
      <c r="J27" s="1450"/>
      <c r="K27" s="1452"/>
      <c r="L27" s="167" t="s">
        <v>319</v>
      </c>
      <c r="M27" s="169"/>
      <c r="N27" s="1450"/>
      <c r="O27" s="1452"/>
      <c r="P27" s="167" t="s">
        <v>319</v>
      </c>
      <c r="Q27" s="169"/>
      <c r="R27" s="1450"/>
      <c r="S27" s="1452"/>
    </row>
    <row r="28" spans="2:19" ht="51" customHeight="1" x14ac:dyDescent="0.35">
      <c r="B28" s="1400"/>
      <c r="C28" s="1400"/>
      <c r="D28" s="170" t="s">
        <v>326</v>
      </c>
      <c r="E28" s="171"/>
      <c r="F28" s="1455"/>
      <c r="G28" s="1457"/>
      <c r="H28" s="170" t="s">
        <v>326</v>
      </c>
      <c r="I28" s="172"/>
      <c r="J28" s="1451"/>
      <c r="K28" s="1453"/>
      <c r="L28" s="170" t="s">
        <v>326</v>
      </c>
      <c r="M28" s="172"/>
      <c r="N28" s="1451"/>
      <c r="O28" s="1453"/>
      <c r="P28" s="170" t="s">
        <v>326</v>
      </c>
      <c r="Q28" s="172"/>
      <c r="R28" s="1451"/>
      <c r="S28" s="1453"/>
    </row>
    <row r="29" spans="2:19" ht="33.75" customHeight="1" x14ac:dyDescent="0.35">
      <c r="B29" s="1387" t="s">
        <v>327</v>
      </c>
      <c r="C29" s="1401" t="s">
        <v>328</v>
      </c>
      <c r="D29" s="173" t="s">
        <v>329</v>
      </c>
      <c r="E29" s="174" t="s">
        <v>309</v>
      </c>
      <c r="F29" s="174" t="s">
        <v>330</v>
      </c>
      <c r="G29" s="175" t="s">
        <v>331</v>
      </c>
      <c r="H29" s="173" t="s">
        <v>329</v>
      </c>
      <c r="I29" s="174" t="s">
        <v>309</v>
      </c>
      <c r="J29" s="174" t="s">
        <v>330</v>
      </c>
      <c r="K29" s="175" t="s">
        <v>331</v>
      </c>
      <c r="L29" s="173" t="s">
        <v>329</v>
      </c>
      <c r="M29" s="174" t="s">
        <v>309</v>
      </c>
      <c r="N29" s="174" t="s">
        <v>330</v>
      </c>
      <c r="O29" s="175" t="s">
        <v>331</v>
      </c>
      <c r="P29" s="173" t="s">
        <v>329</v>
      </c>
      <c r="Q29" s="174" t="s">
        <v>309</v>
      </c>
      <c r="R29" s="174" t="s">
        <v>330</v>
      </c>
      <c r="S29" s="175" t="s">
        <v>331</v>
      </c>
    </row>
    <row r="30" spans="2:19" ht="30" customHeight="1" x14ac:dyDescent="0.35">
      <c r="B30" s="1398"/>
      <c r="C30" s="1402"/>
      <c r="D30" s="176"/>
      <c r="E30" s="177"/>
      <c r="F30" s="177"/>
      <c r="G30" s="178"/>
      <c r="H30" s="179"/>
      <c r="I30" s="180"/>
      <c r="J30" s="179"/>
      <c r="K30" s="181"/>
      <c r="L30" s="179"/>
      <c r="M30" s="180"/>
      <c r="N30" s="179"/>
      <c r="O30" s="181"/>
      <c r="P30" s="179"/>
      <c r="Q30" s="180"/>
      <c r="R30" s="179"/>
      <c r="S30" s="181"/>
    </row>
    <row r="31" spans="2:19" ht="36.75" hidden="1" customHeight="1" outlineLevel="1" x14ac:dyDescent="0.35">
      <c r="B31" s="1398"/>
      <c r="C31" s="1402"/>
      <c r="D31" s="173" t="s">
        <v>329</v>
      </c>
      <c r="E31" s="174" t="s">
        <v>309</v>
      </c>
      <c r="F31" s="174" t="s">
        <v>330</v>
      </c>
      <c r="G31" s="175" t="s">
        <v>331</v>
      </c>
      <c r="H31" s="173" t="s">
        <v>329</v>
      </c>
      <c r="I31" s="174" t="s">
        <v>309</v>
      </c>
      <c r="J31" s="174" t="s">
        <v>330</v>
      </c>
      <c r="K31" s="175" t="s">
        <v>331</v>
      </c>
      <c r="L31" s="173" t="s">
        <v>329</v>
      </c>
      <c r="M31" s="174" t="s">
        <v>309</v>
      </c>
      <c r="N31" s="174" t="s">
        <v>330</v>
      </c>
      <c r="O31" s="175" t="s">
        <v>331</v>
      </c>
      <c r="P31" s="173" t="s">
        <v>329</v>
      </c>
      <c r="Q31" s="174" t="s">
        <v>309</v>
      </c>
      <c r="R31" s="174" t="s">
        <v>330</v>
      </c>
      <c r="S31" s="175" t="s">
        <v>331</v>
      </c>
    </row>
    <row r="32" spans="2:19" ht="30" hidden="1" customHeight="1" outlineLevel="1" x14ac:dyDescent="0.35">
      <c r="B32" s="1398"/>
      <c r="C32" s="1402"/>
      <c r="D32" s="176"/>
      <c r="E32" s="177"/>
      <c r="F32" s="177"/>
      <c r="G32" s="178"/>
      <c r="H32" s="179"/>
      <c r="I32" s="180"/>
      <c r="J32" s="179"/>
      <c r="K32" s="181"/>
      <c r="L32" s="179"/>
      <c r="M32" s="180"/>
      <c r="N32" s="179"/>
      <c r="O32" s="181"/>
      <c r="P32" s="179"/>
      <c r="Q32" s="180"/>
      <c r="R32" s="179"/>
      <c r="S32" s="181"/>
    </row>
    <row r="33" spans="2:19" ht="36" hidden="1" customHeight="1" outlineLevel="1" x14ac:dyDescent="0.35">
      <c r="B33" s="1398"/>
      <c r="C33" s="1402"/>
      <c r="D33" s="173" t="s">
        <v>329</v>
      </c>
      <c r="E33" s="174" t="s">
        <v>309</v>
      </c>
      <c r="F33" s="174" t="s">
        <v>330</v>
      </c>
      <c r="G33" s="175" t="s">
        <v>331</v>
      </c>
      <c r="H33" s="173" t="s">
        <v>329</v>
      </c>
      <c r="I33" s="174" t="s">
        <v>309</v>
      </c>
      <c r="J33" s="174" t="s">
        <v>330</v>
      </c>
      <c r="K33" s="175" t="s">
        <v>331</v>
      </c>
      <c r="L33" s="173" t="s">
        <v>329</v>
      </c>
      <c r="M33" s="174" t="s">
        <v>309</v>
      </c>
      <c r="N33" s="174" t="s">
        <v>330</v>
      </c>
      <c r="O33" s="175" t="s">
        <v>331</v>
      </c>
      <c r="P33" s="173" t="s">
        <v>329</v>
      </c>
      <c r="Q33" s="174" t="s">
        <v>309</v>
      </c>
      <c r="R33" s="174" t="s">
        <v>330</v>
      </c>
      <c r="S33" s="175" t="s">
        <v>331</v>
      </c>
    </row>
    <row r="34" spans="2:19" ht="30" hidden="1" customHeight="1" outlineLevel="1" x14ac:dyDescent="0.35">
      <c r="B34" s="1398"/>
      <c r="C34" s="1402"/>
      <c r="D34" s="176"/>
      <c r="E34" s="177"/>
      <c r="F34" s="177"/>
      <c r="G34" s="178"/>
      <c r="H34" s="179"/>
      <c r="I34" s="180"/>
      <c r="J34" s="179"/>
      <c r="K34" s="181"/>
      <c r="L34" s="179"/>
      <c r="M34" s="180"/>
      <c r="N34" s="179"/>
      <c r="O34" s="181"/>
      <c r="P34" s="179"/>
      <c r="Q34" s="180"/>
      <c r="R34" s="179"/>
      <c r="S34" s="181"/>
    </row>
    <row r="35" spans="2:19" ht="39" hidden="1" customHeight="1" outlineLevel="1" x14ac:dyDescent="0.35">
      <c r="B35" s="1398"/>
      <c r="C35" s="1402"/>
      <c r="D35" s="173" t="s">
        <v>329</v>
      </c>
      <c r="E35" s="174" t="s">
        <v>309</v>
      </c>
      <c r="F35" s="174" t="s">
        <v>330</v>
      </c>
      <c r="G35" s="175" t="s">
        <v>331</v>
      </c>
      <c r="H35" s="173" t="s">
        <v>329</v>
      </c>
      <c r="I35" s="174" t="s">
        <v>309</v>
      </c>
      <c r="J35" s="174" t="s">
        <v>330</v>
      </c>
      <c r="K35" s="175" t="s">
        <v>331</v>
      </c>
      <c r="L35" s="173" t="s">
        <v>329</v>
      </c>
      <c r="M35" s="174" t="s">
        <v>309</v>
      </c>
      <c r="N35" s="174" t="s">
        <v>330</v>
      </c>
      <c r="O35" s="175" t="s">
        <v>331</v>
      </c>
      <c r="P35" s="173" t="s">
        <v>329</v>
      </c>
      <c r="Q35" s="174" t="s">
        <v>309</v>
      </c>
      <c r="R35" s="174" t="s">
        <v>330</v>
      </c>
      <c r="S35" s="175" t="s">
        <v>331</v>
      </c>
    </row>
    <row r="36" spans="2:19" ht="30" hidden="1" customHeight="1" outlineLevel="1" x14ac:dyDescent="0.35">
      <c r="B36" s="1398"/>
      <c r="C36" s="1402"/>
      <c r="D36" s="176"/>
      <c r="E36" s="177"/>
      <c r="F36" s="177"/>
      <c r="G36" s="178"/>
      <c r="H36" s="179"/>
      <c r="I36" s="180"/>
      <c r="J36" s="179"/>
      <c r="K36" s="181"/>
      <c r="L36" s="179"/>
      <c r="M36" s="180"/>
      <c r="N36" s="179"/>
      <c r="O36" s="181"/>
      <c r="P36" s="179"/>
      <c r="Q36" s="180"/>
      <c r="R36" s="179"/>
      <c r="S36" s="181"/>
    </row>
    <row r="37" spans="2:19" ht="36.75" hidden="1" customHeight="1" outlineLevel="1" x14ac:dyDescent="0.35">
      <c r="B37" s="1398"/>
      <c r="C37" s="1402"/>
      <c r="D37" s="173" t="s">
        <v>329</v>
      </c>
      <c r="E37" s="174" t="s">
        <v>309</v>
      </c>
      <c r="F37" s="174" t="s">
        <v>330</v>
      </c>
      <c r="G37" s="175" t="s">
        <v>331</v>
      </c>
      <c r="H37" s="173" t="s">
        <v>329</v>
      </c>
      <c r="I37" s="174" t="s">
        <v>309</v>
      </c>
      <c r="J37" s="174" t="s">
        <v>330</v>
      </c>
      <c r="K37" s="175" t="s">
        <v>331</v>
      </c>
      <c r="L37" s="173" t="s">
        <v>329</v>
      </c>
      <c r="M37" s="174" t="s">
        <v>309</v>
      </c>
      <c r="N37" s="174" t="s">
        <v>330</v>
      </c>
      <c r="O37" s="175" t="s">
        <v>331</v>
      </c>
      <c r="P37" s="173" t="s">
        <v>329</v>
      </c>
      <c r="Q37" s="174" t="s">
        <v>309</v>
      </c>
      <c r="R37" s="174" t="s">
        <v>330</v>
      </c>
      <c r="S37" s="175" t="s">
        <v>331</v>
      </c>
    </row>
    <row r="38" spans="2:19" ht="30" hidden="1" customHeight="1" outlineLevel="1" x14ac:dyDescent="0.35">
      <c r="B38" s="1388"/>
      <c r="C38" s="1403"/>
      <c r="D38" s="176"/>
      <c r="E38" s="177"/>
      <c r="F38" s="177"/>
      <c r="G38" s="178"/>
      <c r="H38" s="179"/>
      <c r="I38" s="180"/>
      <c r="J38" s="179"/>
      <c r="K38" s="181"/>
      <c r="L38" s="179"/>
      <c r="M38" s="180"/>
      <c r="N38" s="179"/>
      <c r="O38" s="181"/>
      <c r="P38" s="179"/>
      <c r="Q38" s="180"/>
      <c r="R38" s="179"/>
      <c r="S38" s="181"/>
    </row>
    <row r="39" spans="2:19" ht="30" customHeight="1" collapsed="1" x14ac:dyDescent="0.35">
      <c r="B39" s="1387" t="s">
        <v>332</v>
      </c>
      <c r="C39" s="1387" t="s">
        <v>333</v>
      </c>
      <c r="D39" s="174" t="s">
        <v>334</v>
      </c>
      <c r="E39" s="174" t="s">
        <v>335</v>
      </c>
      <c r="F39" s="147" t="s">
        <v>336</v>
      </c>
      <c r="G39" s="182"/>
      <c r="H39" s="174" t="s">
        <v>334</v>
      </c>
      <c r="I39" s="174" t="s">
        <v>335</v>
      </c>
      <c r="J39" s="147" t="s">
        <v>336</v>
      </c>
      <c r="K39" s="183"/>
      <c r="L39" s="174" t="s">
        <v>334</v>
      </c>
      <c r="M39" s="174" t="s">
        <v>335</v>
      </c>
      <c r="N39" s="147" t="s">
        <v>336</v>
      </c>
      <c r="O39" s="183"/>
      <c r="P39" s="174" t="s">
        <v>334</v>
      </c>
      <c r="Q39" s="174" t="s">
        <v>335</v>
      </c>
      <c r="R39" s="147" t="s">
        <v>336</v>
      </c>
      <c r="S39" s="183"/>
    </row>
    <row r="40" spans="2:19" ht="30" customHeight="1" x14ac:dyDescent="0.35">
      <c r="B40" s="1398"/>
      <c r="C40" s="1398"/>
      <c r="D40" s="1464"/>
      <c r="E40" s="1464"/>
      <c r="F40" s="147" t="s">
        <v>337</v>
      </c>
      <c r="G40" s="184"/>
      <c r="H40" s="1462"/>
      <c r="I40" s="1462"/>
      <c r="J40" s="147" t="s">
        <v>337</v>
      </c>
      <c r="K40" s="185"/>
      <c r="L40" s="1462"/>
      <c r="M40" s="1462"/>
      <c r="N40" s="147" t="s">
        <v>337</v>
      </c>
      <c r="O40" s="185"/>
      <c r="P40" s="1462"/>
      <c r="Q40" s="1462"/>
      <c r="R40" s="147" t="s">
        <v>337</v>
      </c>
      <c r="S40" s="185"/>
    </row>
    <row r="41" spans="2:19" ht="30" customHeight="1" x14ac:dyDescent="0.35">
      <c r="B41" s="1398"/>
      <c r="C41" s="1398"/>
      <c r="D41" s="1465"/>
      <c r="E41" s="1465"/>
      <c r="F41" s="147" t="s">
        <v>338</v>
      </c>
      <c r="G41" s="178"/>
      <c r="H41" s="1463"/>
      <c r="I41" s="1463"/>
      <c r="J41" s="147" t="s">
        <v>338</v>
      </c>
      <c r="K41" s="181"/>
      <c r="L41" s="1463"/>
      <c r="M41" s="1463"/>
      <c r="N41" s="147" t="s">
        <v>338</v>
      </c>
      <c r="O41" s="181"/>
      <c r="P41" s="1463"/>
      <c r="Q41" s="1463"/>
      <c r="R41" s="147" t="s">
        <v>338</v>
      </c>
      <c r="S41" s="181"/>
    </row>
    <row r="42" spans="2:19" ht="30" customHeight="1" outlineLevel="1" x14ac:dyDescent="0.35">
      <c r="B42" s="1398"/>
      <c r="C42" s="1398"/>
      <c r="D42" s="174" t="s">
        <v>334</v>
      </c>
      <c r="E42" s="174" t="s">
        <v>335</v>
      </c>
      <c r="F42" s="147" t="s">
        <v>336</v>
      </c>
      <c r="G42" s="182"/>
      <c r="H42" s="174" t="s">
        <v>334</v>
      </c>
      <c r="I42" s="174" t="s">
        <v>335</v>
      </c>
      <c r="J42" s="147" t="s">
        <v>336</v>
      </c>
      <c r="K42" s="183"/>
      <c r="L42" s="174" t="s">
        <v>334</v>
      </c>
      <c r="M42" s="174" t="s">
        <v>335</v>
      </c>
      <c r="N42" s="147" t="s">
        <v>336</v>
      </c>
      <c r="O42" s="183"/>
      <c r="P42" s="174" t="s">
        <v>334</v>
      </c>
      <c r="Q42" s="174" t="s">
        <v>335</v>
      </c>
      <c r="R42" s="147" t="s">
        <v>336</v>
      </c>
      <c r="S42" s="183"/>
    </row>
    <row r="43" spans="2:19" ht="30" customHeight="1" outlineLevel="1" x14ac:dyDescent="0.35">
      <c r="B43" s="1398"/>
      <c r="C43" s="1398"/>
      <c r="D43" s="1464"/>
      <c r="E43" s="1464"/>
      <c r="F43" s="147" t="s">
        <v>337</v>
      </c>
      <c r="G43" s="184"/>
      <c r="H43" s="1462"/>
      <c r="I43" s="1462"/>
      <c r="J43" s="147" t="s">
        <v>337</v>
      </c>
      <c r="K43" s="185"/>
      <c r="L43" s="1462"/>
      <c r="M43" s="1462"/>
      <c r="N43" s="147" t="s">
        <v>337</v>
      </c>
      <c r="O43" s="185"/>
      <c r="P43" s="1462"/>
      <c r="Q43" s="1462"/>
      <c r="R43" s="147" t="s">
        <v>337</v>
      </c>
      <c r="S43" s="185"/>
    </row>
    <row r="44" spans="2:19" ht="30" customHeight="1" outlineLevel="1" x14ac:dyDescent="0.35">
      <c r="B44" s="1398"/>
      <c r="C44" s="1398"/>
      <c r="D44" s="1465"/>
      <c r="E44" s="1465"/>
      <c r="F44" s="147" t="s">
        <v>338</v>
      </c>
      <c r="G44" s="178"/>
      <c r="H44" s="1463"/>
      <c r="I44" s="1463"/>
      <c r="J44" s="147" t="s">
        <v>338</v>
      </c>
      <c r="K44" s="181"/>
      <c r="L44" s="1463"/>
      <c r="M44" s="1463"/>
      <c r="N44" s="147" t="s">
        <v>338</v>
      </c>
      <c r="O44" s="181"/>
      <c r="P44" s="1463"/>
      <c r="Q44" s="1463"/>
      <c r="R44" s="147" t="s">
        <v>338</v>
      </c>
      <c r="S44" s="181"/>
    </row>
    <row r="45" spans="2:19" ht="30" customHeight="1" outlineLevel="1" x14ac:dyDescent="0.35">
      <c r="B45" s="1398"/>
      <c r="C45" s="1398"/>
      <c r="D45" s="174" t="s">
        <v>334</v>
      </c>
      <c r="E45" s="174" t="s">
        <v>335</v>
      </c>
      <c r="F45" s="147" t="s">
        <v>336</v>
      </c>
      <c r="G45" s="182"/>
      <c r="H45" s="174" t="s">
        <v>334</v>
      </c>
      <c r="I45" s="174" t="s">
        <v>335</v>
      </c>
      <c r="J45" s="147" t="s">
        <v>336</v>
      </c>
      <c r="K45" s="183"/>
      <c r="L45" s="174" t="s">
        <v>334</v>
      </c>
      <c r="M45" s="174" t="s">
        <v>335</v>
      </c>
      <c r="N45" s="147" t="s">
        <v>336</v>
      </c>
      <c r="O45" s="183"/>
      <c r="P45" s="174" t="s">
        <v>334</v>
      </c>
      <c r="Q45" s="174" t="s">
        <v>335</v>
      </c>
      <c r="R45" s="147" t="s">
        <v>336</v>
      </c>
      <c r="S45" s="183"/>
    </row>
    <row r="46" spans="2:19" ht="30" customHeight="1" outlineLevel="1" x14ac:dyDescent="0.35">
      <c r="B46" s="1398"/>
      <c r="C46" s="1398"/>
      <c r="D46" s="1464"/>
      <c r="E46" s="1464"/>
      <c r="F46" s="147" t="s">
        <v>337</v>
      </c>
      <c r="G46" s="184"/>
      <c r="H46" s="1462"/>
      <c r="I46" s="1462"/>
      <c r="J46" s="147" t="s">
        <v>337</v>
      </c>
      <c r="K46" s="185"/>
      <c r="L46" s="1462"/>
      <c r="M46" s="1462"/>
      <c r="N46" s="147" t="s">
        <v>337</v>
      </c>
      <c r="O46" s="185"/>
      <c r="P46" s="1462"/>
      <c r="Q46" s="1462"/>
      <c r="R46" s="147" t="s">
        <v>337</v>
      </c>
      <c r="S46" s="185"/>
    </row>
    <row r="47" spans="2:19" ht="30" customHeight="1" outlineLevel="1" x14ac:dyDescent="0.35">
      <c r="B47" s="1398"/>
      <c r="C47" s="1398"/>
      <c r="D47" s="1465"/>
      <c r="E47" s="1465"/>
      <c r="F47" s="147" t="s">
        <v>338</v>
      </c>
      <c r="G47" s="178"/>
      <c r="H47" s="1463"/>
      <c r="I47" s="1463"/>
      <c r="J47" s="147" t="s">
        <v>338</v>
      </c>
      <c r="K47" s="181"/>
      <c r="L47" s="1463"/>
      <c r="M47" s="1463"/>
      <c r="N47" s="147" t="s">
        <v>338</v>
      </c>
      <c r="O47" s="181"/>
      <c r="P47" s="1463"/>
      <c r="Q47" s="1463"/>
      <c r="R47" s="147" t="s">
        <v>338</v>
      </c>
      <c r="S47" s="181"/>
    </row>
    <row r="48" spans="2:19" ht="30" customHeight="1" outlineLevel="1" x14ac:dyDescent="0.35">
      <c r="B48" s="1398"/>
      <c r="C48" s="1398"/>
      <c r="D48" s="174" t="s">
        <v>334</v>
      </c>
      <c r="E48" s="174" t="s">
        <v>335</v>
      </c>
      <c r="F48" s="147" t="s">
        <v>336</v>
      </c>
      <c r="G48" s="182"/>
      <c r="H48" s="174" t="s">
        <v>334</v>
      </c>
      <c r="I48" s="174" t="s">
        <v>335</v>
      </c>
      <c r="J48" s="147" t="s">
        <v>336</v>
      </c>
      <c r="K48" s="183"/>
      <c r="L48" s="174" t="s">
        <v>334</v>
      </c>
      <c r="M48" s="174" t="s">
        <v>335</v>
      </c>
      <c r="N48" s="147" t="s">
        <v>336</v>
      </c>
      <c r="O48" s="183"/>
      <c r="P48" s="174" t="s">
        <v>334</v>
      </c>
      <c r="Q48" s="174" t="s">
        <v>335</v>
      </c>
      <c r="R48" s="147" t="s">
        <v>336</v>
      </c>
      <c r="S48" s="183"/>
    </row>
    <row r="49" spans="2:19" ht="30" customHeight="1" outlineLevel="1" x14ac:dyDescent="0.35">
      <c r="B49" s="1398"/>
      <c r="C49" s="1398"/>
      <c r="D49" s="1464"/>
      <c r="E49" s="1464"/>
      <c r="F49" s="147" t="s">
        <v>337</v>
      </c>
      <c r="G49" s="184"/>
      <c r="H49" s="1462"/>
      <c r="I49" s="1462"/>
      <c r="J49" s="147" t="s">
        <v>337</v>
      </c>
      <c r="K49" s="185"/>
      <c r="L49" s="1462"/>
      <c r="M49" s="1462"/>
      <c r="N49" s="147" t="s">
        <v>337</v>
      </c>
      <c r="O49" s="185"/>
      <c r="P49" s="1462"/>
      <c r="Q49" s="1462"/>
      <c r="R49" s="147" t="s">
        <v>337</v>
      </c>
      <c r="S49" s="185"/>
    </row>
    <row r="50" spans="2:19" ht="30" customHeight="1" outlineLevel="1" x14ac:dyDescent="0.35">
      <c r="B50" s="1388"/>
      <c r="C50" s="1388"/>
      <c r="D50" s="1465"/>
      <c r="E50" s="1465"/>
      <c r="F50" s="147" t="s">
        <v>338</v>
      </c>
      <c r="G50" s="178"/>
      <c r="H50" s="1463"/>
      <c r="I50" s="1463"/>
      <c r="J50" s="147" t="s">
        <v>338</v>
      </c>
      <c r="K50" s="181"/>
      <c r="L50" s="1463"/>
      <c r="M50" s="1463"/>
      <c r="N50" s="147" t="s">
        <v>338</v>
      </c>
      <c r="O50" s="181"/>
      <c r="P50" s="1463"/>
      <c r="Q50" s="1463"/>
      <c r="R50" s="147" t="s">
        <v>338</v>
      </c>
      <c r="S50" s="181"/>
    </row>
    <row r="51" spans="2:19" ht="30" customHeight="1" thickBot="1" x14ac:dyDescent="0.4">
      <c r="C51" s="186"/>
      <c r="D51" s="187"/>
    </row>
    <row r="52" spans="2:19" ht="30" customHeight="1" thickBot="1" x14ac:dyDescent="0.4">
      <c r="D52" s="1406" t="s">
        <v>310</v>
      </c>
      <c r="E52" s="1407"/>
      <c r="F52" s="1407"/>
      <c r="G52" s="1408"/>
      <c r="H52" s="1406" t="s">
        <v>311</v>
      </c>
      <c r="I52" s="1407"/>
      <c r="J52" s="1407"/>
      <c r="K52" s="1408"/>
      <c r="L52" s="1406" t="s">
        <v>312</v>
      </c>
      <c r="M52" s="1407"/>
      <c r="N52" s="1407"/>
      <c r="O52" s="1408"/>
      <c r="P52" s="1406" t="s">
        <v>313</v>
      </c>
      <c r="Q52" s="1407"/>
      <c r="R52" s="1407"/>
      <c r="S52" s="1408"/>
    </row>
    <row r="53" spans="2:19" ht="30" customHeight="1" x14ac:dyDescent="0.35">
      <c r="B53" s="1399" t="s">
        <v>715</v>
      </c>
      <c r="C53" s="1399" t="s">
        <v>339</v>
      </c>
      <c r="D53" s="1361" t="s">
        <v>340</v>
      </c>
      <c r="E53" s="1423"/>
      <c r="F53" s="188" t="s">
        <v>309</v>
      </c>
      <c r="G53" s="189" t="s">
        <v>341</v>
      </c>
      <c r="H53" s="1361" t="s">
        <v>340</v>
      </c>
      <c r="I53" s="1423"/>
      <c r="J53" s="188" t="s">
        <v>309</v>
      </c>
      <c r="K53" s="189" t="s">
        <v>341</v>
      </c>
      <c r="L53" s="1361" t="s">
        <v>340</v>
      </c>
      <c r="M53" s="1423"/>
      <c r="N53" s="188" t="s">
        <v>309</v>
      </c>
      <c r="O53" s="189" t="s">
        <v>341</v>
      </c>
      <c r="P53" s="1361" t="s">
        <v>340</v>
      </c>
      <c r="Q53" s="1423"/>
      <c r="R53" s="188" t="s">
        <v>309</v>
      </c>
      <c r="S53" s="189" t="s">
        <v>341</v>
      </c>
    </row>
    <row r="54" spans="2:19" ht="45" customHeight="1" x14ac:dyDescent="0.35">
      <c r="B54" s="1434"/>
      <c r="C54" s="1434"/>
      <c r="D54" s="167" t="s">
        <v>319</v>
      </c>
      <c r="E54" s="168"/>
      <c r="F54" s="1454"/>
      <c r="G54" s="1456"/>
      <c r="H54" s="167" t="s">
        <v>319</v>
      </c>
      <c r="I54" s="169"/>
      <c r="J54" s="1450"/>
      <c r="K54" s="1452"/>
      <c r="L54" s="167" t="s">
        <v>319</v>
      </c>
      <c r="M54" s="169"/>
      <c r="N54" s="1450"/>
      <c r="O54" s="1452"/>
      <c r="P54" s="167" t="s">
        <v>319</v>
      </c>
      <c r="Q54" s="169"/>
      <c r="R54" s="1450"/>
      <c r="S54" s="1452"/>
    </row>
    <row r="55" spans="2:19" ht="45" customHeight="1" x14ac:dyDescent="0.35">
      <c r="B55" s="1400"/>
      <c r="C55" s="1400"/>
      <c r="D55" s="170" t="s">
        <v>326</v>
      </c>
      <c r="E55" s="171"/>
      <c r="F55" s="1455"/>
      <c r="G55" s="1457"/>
      <c r="H55" s="170" t="s">
        <v>326</v>
      </c>
      <c r="I55" s="172"/>
      <c r="J55" s="1451"/>
      <c r="K55" s="1453"/>
      <c r="L55" s="170" t="s">
        <v>326</v>
      </c>
      <c r="M55" s="172"/>
      <c r="N55" s="1451"/>
      <c r="O55" s="1453"/>
      <c r="P55" s="170" t="s">
        <v>326</v>
      </c>
      <c r="Q55" s="172"/>
      <c r="R55" s="1451"/>
      <c r="S55" s="1453"/>
    </row>
    <row r="56" spans="2:19" ht="30" customHeight="1" x14ac:dyDescent="0.35">
      <c r="B56" s="1387" t="s">
        <v>342</v>
      </c>
      <c r="C56" s="1387" t="s">
        <v>343</v>
      </c>
      <c r="D56" s="174" t="s">
        <v>344</v>
      </c>
      <c r="E56" s="190" t="s">
        <v>345</v>
      </c>
      <c r="F56" s="1365" t="s">
        <v>346</v>
      </c>
      <c r="G56" s="1433"/>
      <c r="H56" s="174" t="s">
        <v>344</v>
      </c>
      <c r="I56" s="190" t="s">
        <v>345</v>
      </c>
      <c r="J56" s="1365" t="s">
        <v>346</v>
      </c>
      <c r="K56" s="1433"/>
      <c r="L56" s="174" t="s">
        <v>344</v>
      </c>
      <c r="M56" s="190" t="s">
        <v>345</v>
      </c>
      <c r="N56" s="1365" t="s">
        <v>346</v>
      </c>
      <c r="O56" s="1433"/>
      <c r="P56" s="174" t="s">
        <v>344</v>
      </c>
      <c r="Q56" s="190" t="s">
        <v>345</v>
      </c>
      <c r="R56" s="1365" t="s">
        <v>346</v>
      </c>
      <c r="S56" s="1433"/>
    </row>
    <row r="57" spans="2:19" ht="30" customHeight="1" x14ac:dyDescent="0.35">
      <c r="B57" s="1398"/>
      <c r="C57" s="1388"/>
      <c r="D57" s="191"/>
      <c r="E57" s="192"/>
      <c r="F57" s="1458"/>
      <c r="G57" s="1459"/>
      <c r="H57" s="193"/>
      <c r="I57" s="194"/>
      <c r="J57" s="1460"/>
      <c r="K57" s="1461"/>
      <c r="L57" s="193"/>
      <c r="M57" s="194"/>
      <c r="N57" s="1460"/>
      <c r="O57" s="1461"/>
      <c r="P57" s="193"/>
      <c r="Q57" s="194"/>
      <c r="R57" s="1460"/>
      <c r="S57" s="1461"/>
    </row>
    <row r="58" spans="2:19" ht="30" customHeight="1" x14ac:dyDescent="0.35">
      <c r="B58" s="1398"/>
      <c r="C58" s="1387" t="s">
        <v>347</v>
      </c>
      <c r="D58" s="195" t="s">
        <v>346</v>
      </c>
      <c r="E58" s="196" t="s">
        <v>330</v>
      </c>
      <c r="F58" s="174" t="s">
        <v>309</v>
      </c>
      <c r="G58" s="197" t="s">
        <v>341</v>
      </c>
      <c r="H58" s="195" t="s">
        <v>346</v>
      </c>
      <c r="I58" s="196" t="s">
        <v>330</v>
      </c>
      <c r="J58" s="174" t="s">
        <v>309</v>
      </c>
      <c r="K58" s="197" t="s">
        <v>341</v>
      </c>
      <c r="L58" s="195" t="s">
        <v>346</v>
      </c>
      <c r="M58" s="196" t="s">
        <v>330</v>
      </c>
      <c r="N58" s="174" t="s">
        <v>309</v>
      </c>
      <c r="O58" s="197" t="s">
        <v>341</v>
      </c>
      <c r="P58" s="195" t="s">
        <v>346</v>
      </c>
      <c r="Q58" s="196" t="s">
        <v>330</v>
      </c>
      <c r="R58" s="174" t="s">
        <v>309</v>
      </c>
      <c r="S58" s="197" t="s">
        <v>341</v>
      </c>
    </row>
    <row r="59" spans="2:19" ht="30" customHeight="1" x14ac:dyDescent="0.35">
      <c r="B59" s="1388"/>
      <c r="C59" s="1449"/>
      <c r="D59" s="198"/>
      <c r="E59" s="199"/>
      <c r="F59" s="177"/>
      <c r="G59" s="200"/>
      <c r="H59" s="201"/>
      <c r="I59" s="202"/>
      <c r="J59" s="179"/>
      <c r="K59" s="203"/>
      <c r="L59" s="201"/>
      <c r="M59" s="202"/>
      <c r="N59" s="179"/>
      <c r="O59" s="203"/>
      <c r="P59" s="201"/>
      <c r="Q59" s="202"/>
      <c r="R59" s="179"/>
      <c r="S59" s="203"/>
    </row>
    <row r="60" spans="2:19" ht="30" customHeight="1" thickBot="1" x14ac:dyDescent="0.4">
      <c r="B60" s="163"/>
      <c r="C60" s="204"/>
      <c r="D60" s="187"/>
    </row>
    <row r="61" spans="2:19" ht="30" customHeight="1" thickBot="1" x14ac:dyDescent="0.4">
      <c r="B61" s="163"/>
      <c r="C61" s="163"/>
      <c r="D61" s="1406" t="s">
        <v>310</v>
      </c>
      <c r="E61" s="1407"/>
      <c r="F61" s="1407"/>
      <c r="G61" s="1407"/>
      <c r="H61" s="1406" t="s">
        <v>311</v>
      </c>
      <c r="I61" s="1407"/>
      <c r="J61" s="1407"/>
      <c r="K61" s="1408"/>
      <c r="L61" s="1407" t="s">
        <v>312</v>
      </c>
      <c r="M61" s="1407"/>
      <c r="N61" s="1407"/>
      <c r="O61" s="1407"/>
      <c r="P61" s="1406" t="s">
        <v>313</v>
      </c>
      <c r="Q61" s="1407"/>
      <c r="R61" s="1407"/>
      <c r="S61" s="1408"/>
    </row>
    <row r="62" spans="2:19" ht="30" customHeight="1" x14ac:dyDescent="0.35">
      <c r="B62" s="1399" t="s">
        <v>348</v>
      </c>
      <c r="C62" s="1399" t="s">
        <v>349</v>
      </c>
      <c r="D62" s="1446" t="s">
        <v>350</v>
      </c>
      <c r="E62" s="1447"/>
      <c r="F62" s="1361" t="s">
        <v>309</v>
      </c>
      <c r="G62" s="1391"/>
      <c r="H62" s="1448" t="s">
        <v>350</v>
      </c>
      <c r="I62" s="1447"/>
      <c r="J62" s="1361" t="s">
        <v>309</v>
      </c>
      <c r="K62" s="1362"/>
      <c r="L62" s="1448" t="s">
        <v>350</v>
      </c>
      <c r="M62" s="1447"/>
      <c r="N62" s="1361" t="s">
        <v>309</v>
      </c>
      <c r="O62" s="1362"/>
      <c r="P62" s="1448" t="s">
        <v>350</v>
      </c>
      <c r="Q62" s="1447"/>
      <c r="R62" s="1361" t="s">
        <v>309</v>
      </c>
      <c r="S62" s="1362"/>
    </row>
    <row r="63" spans="2:19" ht="36.75" customHeight="1" x14ac:dyDescent="0.35">
      <c r="B63" s="1400"/>
      <c r="C63" s="1400"/>
      <c r="D63" s="1443"/>
      <c r="E63" s="1444"/>
      <c r="F63" s="1412"/>
      <c r="G63" s="1445"/>
      <c r="H63" s="1439"/>
      <c r="I63" s="1440"/>
      <c r="J63" s="1431"/>
      <c r="K63" s="1432"/>
      <c r="L63" s="1439"/>
      <c r="M63" s="1440"/>
      <c r="N63" s="1431"/>
      <c r="O63" s="1432"/>
      <c r="P63" s="1439"/>
      <c r="Q63" s="1440"/>
      <c r="R63" s="1431"/>
      <c r="S63" s="1432"/>
    </row>
    <row r="64" spans="2:19" ht="45" customHeight="1" x14ac:dyDescent="0.35">
      <c r="B64" s="1387" t="s">
        <v>716</v>
      </c>
      <c r="C64" s="1387" t="s">
        <v>351</v>
      </c>
      <c r="D64" s="174" t="s">
        <v>352</v>
      </c>
      <c r="E64" s="174" t="s">
        <v>353</v>
      </c>
      <c r="F64" s="1365" t="s">
        <v>354</v>
      </c>
      <c r="G64" s="1433"/>
      <c r="H64" s="205" t="s">
        <v>352</v>
      </c>
      <c r="I64" s="174" t="s">
        <v>353</v>
      </c>
      <c r="J64" s="1441" t="s">
        <v>354</v>
      </c>
      <c r="K64" s="1433"/>
      <c r="L64" s="205" t="s">
        <v>352</v>
      </c>
      <c r="M64" s="174" t="s">
        <v>353</v>
      </c>
      <c r="N64" s="1441" t="s">
        <v>354</v>
      </c>
      <c r="O64" s="1433"/>
      <c r="P64" s="205" t="s">
        <v>352</v>
      </c>
      <c r="Q64" s="174" t="s">
        <v>353</v>
      </c>
      <c r="R64" s="1441" t="s">
        <v>354</v>
      </c>
      <c r="S64" s="1433"/>
    </row>
    <row r="65" spans="2:19" ht="27" customHeight="1" x14ac:dyDescent="0.35">
      <c r="B65" s="1388"/>
      <c r="C65" s="1388"/>
      <c r="D65" s="191"/>
      <c r="E65" s="192"/>
      <c r="F65" s="1442"/>
      <c r="G65" s="1442"/>
      <c r="H65" s="193"/>
      <c r="I65" s="194"/>
      <c r="J65" s="1437"/>
      <c r="K65" s="1438"/>
      <c r="L65" s="193"/>
      <c r="M65" s="194"/>
      <c r="N65" s="1437"/>
      <c r="O65" s="1438"/>
      <c r="P65" s="193"/>
      <c r="Q65" s="194"/>
      <c r="R65" s="1437"/>
      <c r="S65" s="1438"/>
    </row>
    <row r="66" spans="2:19" ht="33.75" customHeight="1" thickBot="1" x14ac:dyDescent="0.4">
      <c r="B66" s="163"/>
      <c r="C66" s="163"/>
    </row>
    <row r="67" spans="2:19" ht="37.5" customHeight="1" thickBot="1" x14ac:dyDescent="0.4">
      <c r="B67" s="163"/>
      <c r="C67" s="163"/>
      <c r="D67" s="1406" t="s">
        <v>310</v>
      </c>
      <c r="E67" s="1407"/>
      <c r="F67" s="1407"/>
      <c r="G67" s="1408"/>
      <c r="H67" s="1407" t="s">
        <v>311</v>
      </c>
      <c r="I67" s="1407"/>
      <c r="J67" s="1407"/>
      <c r="K67" s="1408"/>
      <c r="L67" s="1407" t="s">
        <v>311</v>
      </c>
      <c r="M67" s="1407"/>
      <c r="N67" s="1407"/>
      <c r="O67" s="1408"/>
      <c r="P67" s="1407" t="s">
        <v>311</v>
      </c>
      <c r="Q67" s="1407"/>
      <c r="R67" s="1407"/>
      <c r="S67" s="1408"/>
    </row>
    <row r="68" spans="2:19" ht="37.5" customHeight="1" x14ac:dyDescent="0.35">
      <c r="B68" s="1399" t="s">
        <v>717</v>
      </c>
      <c r="C68" s="1399" t="s">
        <v>355</v>
      </c>
      <c r="D68" s="206" t="s">
        <v>356</v>
      </c>
      <c r="E68" s="188" t="s">
        <v>357</v>
      </c>
      <c r="F68" s="1361" t="s">
        <v>358</v>
      </c>
      <c r="G68" s="1362"/>
      <c r="H68" s="206" t="s">
        <v>356</v>
      </c>
      <c r="I68" s="188" t="s">
        <v>357</v>
      </c>
      <c r="J68" s="1361" t="s">
        <v>358</v>
      </c>
      <c r="K68" s="1362"/>
      <c r="L68" s="206" t="s">
        <v>356</v>
      </c>
      <c r="M68" s="188" t="s">
        <v>357</v>
      </c>
      <c r="N68" s="1361" t="s">
        <v>358</v>
      </c>
      <c r="O68" s="1362"/>
      <c r="P68" s="206" t="s">
        <v>356</v>
      </c>
      <c r="Q68" s="188" t="s">
        <v>357</v>
      </c>
      <c r="R68" s="1361" t="s">
        <v>358</v>
      </c>
      <c r="S68" s="1362"/>
    </row>
    <row r="69" spans="2:19" ht="44.25" customHeight="1" x14ac:dyDescent="0.35">
      <c r="B69" s="1434"/>
      <c r="C69" s="1400"/>
      <c r="D69" s="207"/>
      <c r="E69" s="208"/>
      <c r="F69" s="1435"/>
      <c r="G69" s="1436"/>
      <c r="H69" s="209"/>
      <c r="I69" s="210"/>
      <c r="J69" s="1363"/>
      <c r="K69" s="1364"/>
      <c r="L69" s="209"/>
      <c r="M69" s="210"/>
      <c r="N69" s="1363"/>
      <c r="O69" s="1364"/>
      <c r="P69" s="209"/>
      <c r="Q69" s="210"/>
      <c r="R69" s="1363"/>
      <c r="S69" s="1364"/>
    </row>
    <row r="70" spans="2:19" ht="36.75" customHeight="1" x14ac:dyDescent="0.35">
      <c r="B70" s="1434"/>
      <c r="C70" s="1399" t="s">
        <v>656</v>
      </c>
      <c r="D70" s="174" t="s">
        <v>309</v>
      </c>
      <c r="E70" s="173" t="s">
        <v>359</v>
      </c>
      <c r="F70" s="1365" t="s">
        <v>360</v>
      </c>
      <c r="G70" s="1433"/>
      <c r="H70" s="174" t="s">
        <v>309</v>
      </c>
      <c r="I70" s="173" t="s">
        <v>359</v>
      </c>
      <c r="J70" s="1365" t="s">
        <v>360</v>
      </c>
      <c r="K70" s="1433"/>
      <c r="L70" s="174" t="s">
        <v>309</v>
      </c>
      <c r="M70" s="173" t="s">
        <v>359</v>
      </c>
      <c r="N70" s="1365" t="s">
        <v>360</v>
      </c>
      <c r="O70" s="1433"/>
      <c r="P70" s="174" t="s">
        <v>309</v>
      </c>
      <c r="Q70" s="173" t="s">
        <v>359</v>
      </c>
      <c r="R70" s="1365" t="s">
        <v>360</v>
      </c>
      <c r="S70" s="1433"/>
    </row>
    <row r="71" spans="2:19" ht="30" customHeight="1" x14ac:dyDescent="0.35">
      <c r="B71" s="1434"/>
      <c r="C71" s="1434"/>
      <c r="D71" s="177"/>
      <c r="E71" s="208"/>
      <c r="F71" s="1412"/>
      <c r="G71" s="1413"/>
      <c r="H71" s="179"/>
      <c r="I71" s="210"/>
      <c r="J71" s="1431"/>
      <c r="K71" s="1432"/>
      <c r="L71" s="179"/>
      <c r="M71" s="210"/>
      <c r="N71" s="1431"/>
      <c r="O71" s="1432"/>
      <c r="P71" s="179"/>
      <c r="Q71" s="210"/>
      <c r="R71" s="1431"/>
      <c r="S71" s="1432"/>
    </row>
    <row r="72" spans="2:19" ht="30" customHeight="1" outlineLevel="1" x14ac:dyDescent="0.35">
      <c r="B72" s="1434"/>
      <c r="C72" s="1434"/>
      <c r="D72" s="177"/>
      <c r="E72" s="208"/>
      <c r="F72" s="1412"/>
      <c r="G72" s="1413"/>
      <c r="H72" s="179"/>
      <c r="I72" s="210"/>
      <c r="J72" s="1431"/>
      <c r="K72" s="1432"/>
      <c r="L72" s="179"/>
      <c r="M72" s="210"/>
      <c r="N72" s="1431"/>
      <c r="O72" s="1432"/>
      <c r="P72" s="179"/>
      <c r="Q72" s="210"/>
      <c r="R72" s="1431"/>
      <c r="S72" s="1432"/>
    </row>
    <row r="73" spans="2:19" ht="30" customHeight="1" outlineLevel="1" x14ac:dyDescent="0.35">
      <c r="B73" s="1434"/>
      <c r="C73" s="1434"/>
      <c r="D73" s="177"/>
      <c r="E73" s="208"/>
      <c r="F73" s="1412"/>
      <c r="G73" s="1413"/>
      <c r="H73" s="179"/>
      <c r="I73" s="210"/>
      <c r="J73" s="1431"/>
      <c r="K73" s="1432"/>
      <c r="L73" s="179"/>
      <c r="M73" s="210"/>
      <c r="N73" s="1431"/>
      <c r="O73" s="1432"/>
      <c r="P73" s="179"/>
      <c r="Q73" s="210"/>
      <c r="R73" s="1431"/>
      <c r="S73" s="1432"/>
    </row>
    <row r="74" spans="2:19" ht="30" customHeight="1" outlineLevel="1" x14ac:dyDescent="0.35">
      <c r="B74" s="1434"/>
      <c r="C74" s="1434"/>
      <c r="D74" s="177"/>
      <c r="E74" s="208"/>
      <c r="F74" s="1412"/>
      <c r="G74" s="1413"/>
      <c r="H74" s="179"/>
      <c r="I74" s="210"/>
      <c r="J74" s="1431"/>
      <c r="K74" s="1432"/>
      <c r="L74" s="179"/>
      <c r="M74" s="210"/>
      <c r="N74" s="1431"/>
      <c r="O74" s="1432"/>
      <c r="P74" s="179"/>
      <c r="Q74" s="210"/>
      <c r="R74" s="1431"/>
      <c r="S74" s="1432"/>
    </row>
    <row r="75" spans="2:19" ht="30" customHeight="1" outlineLevel="1" x14ac:dyDescent="0.35">
      <c r="B75" s="1434"/>
      <c r="C75" s="1434"/>
      <c r="D75" s="177"/>
      <c r="E75" s="208"/>
      <c r="F75" s="1412"/>
      <c r="G75" s="1413"/>
      <c r="H75" s="179"/>
      <c r="I75" s="210"/>
      <c r="J75" s="1431"/>
      <c r="K75" s="1432"/>
      <c r="L75" s="179"/>
      <c r="M75" s="210"/>
      <c r="N75" s="1431"/>
      <c r="O75" s="1432"/>
      <c r="P75" s="179"/>
      <c r="Q75" s="210"/>
      <c r="R75" s="1431"/>
      <c r="S75" s="1432"/>
    </row>
    <row r="76" spans="2:19" ht="30" customHeight="1" outlineLevel="1" x14ac:dyDescent="0.35">
      <c r="B76" s="1400"/>
      <c r="C76" s="1400"/>
      <c r="D76" s="177"/>
      <c r="E76" s="208"/>
      <c r="F76" s="1412"/>
      <c r="G76" s="1413"/>
      <c r="H76" s="179"/>
      <c r="I76" s="210"/>
      <c r="J76" s="1431"/>
      <c r="K76" s="1432"/>
      <c r="L76" s="179"/>
      <c r="M76" s="210"/>
      <c r="N76" s="1431"/>
      <c r="O76" s="1432"/>
      <c r="P76" s="179"/>
      <c r="Q76" s="210"/>
      <c r="R76" s="1431"/>
      <c r="S76" s="1432"/>
    </row>
    <row r="77" spans="2:19" ht="35.25" customHeight="1" x14ac:dyDescent="0.35">
      <c r="B77" s="1387" t="s">
        <v>361</v>
      </c>
      <c r="C77" s="1430" t="s">
        <v>657</v>
      </c>
      <c r="D77" s="190" t="s">
        <v>362</v>
      </c>
      <c r="E77" s="1365" t="s">
        <v>346</v>
      </c>
      <c r="F77" s="1366"/>
      <c r="G77" s="175" t="s">
        <v>309</v>
      </c>
      <c r="H77" s="190" t="s">
        <v>362</v>
      </c>
      <c r="I77" s="1365" t="s">
        <v>346</v>
      </c>
      <c r="J77" s="1366"/>
      <c r="K77" s="175" t="s">
        <v>309</v>
      </c>
      <c r="L77" s="190" t="s">
        <v>362</v>
      </c>
      <c r="M77" s="1365" t="s">
        <v>346</v>
      </c>
      <c r="N77" s="1366"/>
      <c r="O77" s="175" t="s">
        <v>309</v>
      </c>
      <c r="P77" s="190" t="s">
        <v>362</v>
      </c>
      <c r="Q77" s="1365" t="s">
        <v>346</v>
      </c>
      <c r="R77" s="1366"/>
      <c r="S77" s="175" t="s">
        <v>309</v>
      </c>
    </row>
    <row r="78" spans="2:19" ht="35.25" customHeight="1" x14ac:dyDescent="0.35">
      <c r="B78" s="1398"/>
      <c r="C78" s="1430"/>
      <c r="D78" s="211"/>
      <c r="E78" s="1425"/>
      <c r="F78" s="1426"/>
      <c r="G78" s="212"/>
      <c r="H78" s="213"/>
      <c r="I78" s="1427"/>
      <c r="J78" s="1428"/>
      <c r="K78" s="214"/>
      <c r="L78" s="213"/>
      <c r="M78" s="1427"/>
      <c r="N78" s="1428"/>
      <c r="O78" s="214"/>
      <c r="P78" s="213"/>
      <c r="Q78" s="1427"/>
      <c r="R78" s="1428"/>
      <c r="S78" s="214"/>
    </row>
    <row r="79" spans="2:19" ht="35.25" customHeight="1" outlineLevel="1" x14ac:dyDescent="0.35">
      <c r="B79" s="1398"/>
      <c r="C79" s="1430"/>
      <c r="D79" s="211"/>
      <c r="E79" s="1425"/>
      <c r="F79" s="1426"/>
      <c r="G79" s="212"/>
      <c r="H79" s="213"/>
      <c r="I79" s="1427"/>
      <c r="J79" s="1428"/>
      <c r="K79" s="214"/>
      <c r="L79" s="213"/>
      <c r="M79" s="1427"/>
      <c r="N79" s="1428"/>
      <c r="O79" s="214"/>
      <c r="P79" s="213"/>
      <c r="Q79" s="1427"/>
      <c r="R79" s="1428"/>
      <c r="S79" s="214"/>
    </row>
    <row r="80" spans="2:19" ht="35.25" customHeight="1" outlineLevel="1" x14ac:dyDescent="0.35">
      <c r="B80" s="1398"/>
      <c r="C80" s="1430"/>
      <c r="D80" s="211"/>
      <c r="E80" s="1425"/>
      <c r="F80" s="1426"/>
      <c r="G80" s="212"/>
      <c r="H80" s="213"/>
      <c r="I80" s="1427"/>
      <c r="J80" s="1428"/>
      <c r="K80" s="214"/>
      <c r="L80" s="213"/>
      <c r="M80" s="1427"/>
      <c r="N80" s="1428"/>
      <c r="O80" s="214"/>
      <c r="P80" s="213"/>
      <c r="Q80" s="1427"/>
      <c r="R80" s="1428"/>
      <c r="S80" s="214"/>
    </row>
    <row r="81" spans="2:19" ht="35.25" customHeight="1" outlineLevel="1" x14ac:dyDescent="0.35">
      <c r="B81" s="1398"/>
      <c r="C81" s="1430"/>
      <c r="D81" s="211"/>
      <c r="E81" s="1425"/>
      <c r="F81" s="1426"/>
      <c r="G81" s="212"/>
      <c r="H81" s="213"/>
      <c r="I81" s="1427"/>
      <c r="J81" s="1428"/>
      <c r="K81" s="214"/>
      <c r="L81" s="213"/>
      <c r="M81" s="1427"/>
      <c r="N81" s="1428"/>
      <c r="O81" s="214"/>
      <c r="P81" s="213"/>
      <c r="Q81" s="1427"/>
      <c r="R81" s="1428"/>
      <c r="S81" s="214"/>
    </row>
    <row r="82" spans="2:19" ht="35.25" customHeight="1" outlineLevel="1" x14ac:dyDescent="0.35">
      <c r="B82" s="1398"/>
      <c r="C82" s="1430"/>
      <c r="D82" s="211"/>
      <c r="E82" s="1425"/>
      <c r="F82" s="1426"/>
      <c r="G82" s="212"/>
      <c r="H82" s="213"/>
      <c r="I82" s="1427"/>
      <c r="J82" s="1428"/>
      <c r="K82" s="214"/>
      <c r="L82" s="213"/>
      <c r="M82" s="1427"/>
      <c r="N82" s="1428"/>
      <c r="O82" s="214"/>
      <c r="P82" s="213"/>
      <c r="Q82" s="1427"/>
      <c r="R82" s="1428"/>
      <c r="S82" s="214"/>
    </row>
    <row r="83" spans="2:19" ht="33" customHeight="1" outlineLevel="1" x14ac:dyDescent="0.35">
      <c r="B83" s="1388"/>
      <c r="C83" s="1430"/>
      <c r="D83" s="211"/>
      <c r="E83" s="1425"/>
      <c r="F83" s="1426"/>
      <c r="G83" s="212"/>
      <c r="H83" s="213"/>
      <c r="I83" s="1427"/>
      <c r="J83" s="1428"/>
      <c r="K83" s="214"/>
      <c r="L83" s="213"/>
      <c r="M83" s="1427"/>
      <c r="N83" s="1428"/>
      <c r="O83" s="214"/>
      <c r="P83" s="213"/>
      <c r="Q83" s="1427"/>
      <c r="R83" s="1428"/>
      <c r="S83" s="214"/>
    </row>
    <row r="84" spans="2:19" ht="31.5" customHeight="1" thickBot="1" x14ac:dyDescent="0.4">
      <c r="B84" s="163"/>
      <c r="C84" s="215"/>
      <c r="D84" s="187"/>
    </row>
    <row r="85" spans="2:19" ht="30.75" customHeight="1" thickBot="1" x14ac:dyDescent="0.4">
      <c r="B85" s="163"/>
      <c r="C85" s="163"/>
      <c r="D85" s="1406" t="s">
        <v>310</v>
      </c>
      <c r="E85" s="1407"/>
      <c r="F85" s="1407"/>
      <c r="G85" s="1408"/>
      <c r="H85" s="1369" t="s">
        <v>310</v>
      </c>
      <c r="I85" s="1370"/>
      <c r="J85" s="1370"/>
      <c r="K85" s="1371"/>
      <c r="L85" s="1369" t="s">
        <v>310</v>
      </c>
      <c r="M85" s="1370"/>
      <c r="N85" s="1370"/>
      <c r="O85" s="1421"/>
      <c r="P85" s="1422" t="s">
        <v>310</v>
      </c>
      <c r="Q85" s="1370"/>
      <c r="R85" s="1370"/>
      <c r="S85" s="1371"/>
    </row>
    <row r="86" spans="2:19" ht="30.75" customHeight="1" x14ac:dyDescent="0.35">
      <c r="B86" s="1399" t="s">
        <v>718</v>
      </c>
      <c r="C86" s="1399" t="s">
        <v>363</v>
      </c>
      <c r="D86" s="1361" t="s">
        <v>364</v>
      </c>
      <c r="E86" s="1423"/>
      <c r="F86" s="188" t="s">
        <v>309</v>
      </c>
      <c r="G86" s="216" t="s">
        <v>346</v>
      </c>
      <c r="H86" s="1424" t="s">
        <v>364</v>
      </c>
      <c r="I86" s="1423"/>
      <c r="J86" s="188" t="s">
        <v>309</v>
      </c>
      <c r="K86" s="216" t="s">
        <v>346</v>
      </c>
      <c r="L86" s="1424" t="s">
        <v>364</v>
      </c>
      <c r="M86" s="1423"/>
      <c r="N86" s="188" t="s">
        <v>309</v>
      </c>
      <c r="O86" s="216" t="s">
        <v>346</v>
      </c>
      <c r="P86" s="1424" t="s">
        <v>364</v>
      </c>
      <c r="Q86" s="1423"/>
      <c r="R86" s="188" t="s">
        <v>309</v>
      </c>
      <c r="S86" s="216" t="s">
        <v>346</v>
      </c>
    </row>
    <row r="87" spans="2:19" ht="29.25" customHeight="1" x14ac:dyDescent="0.35">
      <c r="B87" s="1400"/>
      <c r="C87" s="1400"/>
      <c r="D87" s="1412"/>
      <c r="E87" s="1429"/>
      <c r="F87" s="207"/>
      <c r="G87" s="217"/>
      <c r="H87" s="218"/>
      <c r="I87" s="219"/>
      <c r="J87" s="209"/>
      <c r="K87" s="220"/>
      <c r="L87" s="218"/>
      <c r="M87" s="219"/>
      <c r="N87" s="209"/>
      <c r="O87" s="220"/>
      <c r="P87" s="218"/>
      <c r="Q87" s="219"/>
      <c r="R87" s="209"/>
      <c r="S87" s="220"/>
    </row>
    <row r="88" spans="2:19" ht="45" customHeight="1" x14ac:dyDescent="0.35">
      <c r="B88" s="1420" t="s">
        <v>365</v>
      </c>
      <c r="C88" s="1387" t="s">
        <v>366</v>
      </c>
      <c r="D88" s="174" t="s">
        <v>367</v>
      </c>
      <c r="E88" s="174" t="s">
        <v>368</v>
      </c>
      <c r="F88" s="190" t="s">
        <v>369</v>
      </c>
      <c r="G88" s="175" t="s">
        <v>370</v>
      </c>
      <c r="H88" s="174" t="s">
        <v>367</v>
      </c>
      <c r="I88" s="174" t="s">
        <v>368</v>
      </c>
      <c r="J88" s="190" t="s">
        <v>369</v>
      </c>
      <c r="K88" s="175" t="s">
        <v>370</v>
      </c>
      <c r="L88" s="174" t="s">
        <v>367</v>
      </c>
      <c r="M88" s="174" t="s">
        <v>368</v>
      </c>
      <c r="N88" s="190" t="s">
        <v>369</v>
      </c>
      <c r="O88" s="175" t="s">
        <v>370</v>
      </c>
      <c r="P88" s="174" t="s">
        <v>367</v>
      </c>
      <c r="Q88" s="174" t="s">
        <v>368</v>
      </c>
      <c r="R88" s="190" t="s">
        <v>369</v>
      </c>
      <c r="S88" s="175" t="s">
        <v>370</v>
      </c>
    </row>
    <row r="89" spans="2:19" ht="29.25" customHeight="1" x14ac:dyDescent="0.35">
      <c r="B89" s="1420"/>
      <c r="C89" s="1398"/>
      <c r="D89" s="1414"/>
      <c r="E89" s="1416"/>
      <c r="F89" s="1414"/>
      <c r="G89" s="1418"/>
      <c r="H89" s="1372"/>
      <c r="I89" s="1372"/>
      <c r="J89" s="1372"/>
      <c r="K89" s="1374"/>
      <c r="L89" s="1372"/>
      <c r="M89" s="1372"/>
      <c r="N89" s="1372"/>
      <c r="O89" s="1374"/>
      <c r="P89" s="1372"/>
      <c r="Q89" s="1372"/>
      <c r="R89" s="1372"/>
      <c r="S89" s="1374"/>
    </row>
    <row r="90" spans="2:19" ht="29.25" customHeight="1" x14ac:dyDescent="0.35">
      <c r="B90" s="1420"/>
      <c r="C90" s="1398"/>
      <c r="D90" s="1415"/>
      <c r="E90" s="1417"/>
      <c r="F90" s="1415"/>
      <c r="G90" s="1419"/>
      <c r="H90" s="1373"/>
      <c r="I90" s="1373"/>
      <c r="J90" s="1373"/>
      <c r="K90" s="1375"/>
      <c r="L90" s="1373"/>
      <c r="M90" s="1373"/>
      <c r="N90" s="1373"/>
      <c r="O90" s="1375"/>
      <c r="P90" s="1373"/>
      <c r="Q90" s="1373"/>
      <c r="R90" s="1373"/>
      <c r="S90" s="1375"/>
    </row>
    <row r="91" spans="2:19" ht="24" outlineLevel="1" x14ac:dyDescent="0.35">
      <c r="B91" s="1420"/>
      <c r="C91" s="1398"/>
      <c r="D91" s="174" t="s">
        <v>367</v>
      </c>
      <c r="E91" s="174" t="s">
        <v>368</v>
      </c>
      <c r="F91" s="190" t="s">
        <v>369</v>
      </c>
      <c r="G91" s="175" t="s">
        <v>370</v>
      </c>
      <c r="H91" s="174" t="s">
        <v>367</v>
      </c>
      <c r="I91" s="174" t="s">
        <v>368</v>
      </c>
      <c r="J91" s="190" t="s">
        <v>369</v>
      </c>
      <c r="K91" s="175" t="s">
        <v>370</v>
      </c>
      <c r="L91" s="174" t="s">
        <v>367</v>
      </c>
      <c r="M91" s="174" t="s">
        <v>368</v>
      </c>
      <c r="N91" s="190" t="s">
        <v>369</v>
      </c>
      <c r="O91" s="175" t="s">
        <v>370</v>
      </c>
      <c r="P91" s="174" t="s">
        <v>367</v>
      </c>
      <c r="Q91" s="174" t="s">
        <v>368</v>
      </c>
      <c r="R91" s="190" t="s">
        <v>369</v>
      </c>
      <c r="S91" s="175" t="s">
        <v>370</v>
      </c>
    </row>
    <row r="92" spans="2:19" ht="29.25" customHeight="1" outlineLevel="1" x14ac:dyDescent="0.35">
      <c r="B92" s="1420"/>
      <c r="C92" s="1398"/>
      <c r="D92" s="1414"/>
      <c r="E92" s="1416"/>
      <c r="F92" s="1414"/>
      <c r="G92" s="1418"/>
      <c r="H92" s="1372"/>
      <c r="I92" s="1372"/>
      <c r="J92" s="1372"/>
      <c r="K92" s="1374"/>
      <c r="L92" s="1372"/>
      <c r="M92" s="1372"/>
      <c r="N92" s="1372"/>
      <c r="O92" s="1374"/>
      <c r="P92" s="1372"/>
      <c r="Q92" s="1372"/>
      <c r="R92" s="1372"/>
      <c r="S92" s="1374"/>
    </row>
    <row r="93" spans="2:19" ht="29.25" customHeight="1" outlineLevel="1" x14ac:dyDescent="0.35">
      <c r="B93" s="1420"/>
      <c r="C93" s="1398"/>
      <c r="D93" s="1415"/>
      <c r="E93" s="1417"/>
      <c r="F93" s="1415"/>
      <c r="G93" s="1419"/>
      <c r="H93" s="1373"/>
      <c r="I93" s="1373"/>
      <c r="J93" s="1373"/>
      <c r="K93" s="1375"/>
      <c r="L93" s="1373"/>
      <c r="M93" s="1373"/>
      <c r="N93" s="1373"/>
      <c r="O93" s="1375"/>
      <c r="P93" s="1373"/>
      <c r="Q93" s="1373"/>
      <c r="R93" s="1373"/>
      <c r="S93" s="1375"/>
    </row>
    <row r="94" spans="2:19" ht="24" outlineLevel="1" x14ac:dyDescent="0.35">
      <c r="B94" s="1420"/>
      <c r="C94" s="1398"/>
      <c r="D94" s="174" t="s">
        <v>367</v>
      </c>
      <c r="E94" s="174" t="s">
        <v>368</v>
      </c>
      <c r="F94" s="190" t="s">
        <v>369</v>
      </c>
      <c r="G94" s="175" t="s">
        <v>370</v>
      </c>
      <c r="H94" s="174" t="s">
        <v>367</v>
      </c>
      <c r="I94" s="174" t="s">
        <v>368</v>
      </c>
      <c r="J94" s="190" t="s">
        <v>369</v>
      </c>
      <c r="K94" s="175" t="s">
        <v>370</v>
      </c>
      <c r="L94" s="174" t="s">
        <v>367</v>
      </c>
      <c r="M94" s="174" t="s">
        <v>368</v>
      </c>
      <c r="N94" s="190" t="s">
        <v>369</v>
      </c>
      <c r="O94" s="175" t="s">
        <v>370</v>
      </c>
      <c r="P94" s="174" t="s">
        <v>367</v>
      </c>
      <c r="Q94" s="174" t="s">
        <v>368</v>
      </c>
      <c r="R94" s="190" t="s">
        <v>369</v>
      </c>
      <c r="S94" s="175" t="s">
        <v>370</v>
      </c>
    </row>
    <row r="95" spans="2:19" ht="29.25" customHeight="1" outlineLevel="1" x14ac:dyDescent="0.35">
      <c r="B95" s="1420"/>
      <c r="C95" s="1398"/>
      <c r="D95" s="1414"/>
      <c r="E95" s="1416"/>
      <c r="F95" s="1414"/>
      <c r="G95" s="1418"/>
      <c r="H95" s="1372"/>
      <c r="I95" s="1372"/>
      <c r="J95" s="1372"/>
      <c r="K95" s="1374"/>
      <c r="L95" s="1372"/>
      <c r="M95" s="1372"/>
      <c r="N95" s="1372"/>
      <c r="O95" s="1374"/>
      <c r="P95" s="1372"/>
      <c r="Q95" s="1372"/>
      <c r="R95" s="1372"/>
      <c r="S95" s="1374"/>
    </row>
    <row r="96" spans="2:19" ht="29.25" customHeight="1" outlineLevel="1" x14ac:dyDescent="0.35">
      <c r="B96" s="1420"/>
      <c r="C96" s="1398"/>
      <c r="D96" s="1415"/>
      <c r="E96" s="1417"/>
      <c r="F96" s="1415"/>
      <c r="G96" s="1419"/>
      <c r="H96" s="1373"/>
      <c r="I96" s="1373"/>
      <c r="J96" s="1373"/>
      <c r="K96" s="1375"/>
      <c r="L96" s="1373"/>
      <c r="M96" s="1373"/>
      <c r="N96" s="1373"/>
      <c r="O96" s="1375"/>
      <c r="P96" s="1373"/>
      <c r="Q96" s="1373"/>
      <c r="R96" s="1373"/>
      <c r="S96" s="1375"/>
    </row>
    <row r="97" spans="2:19" ht="24" outlineLevel="1" x14ac:dyDescent="0.35">
      <c r="B97" s="1420"/>
      <c r="C97" s="1398"/>
      <c r="D97" s="174" t="s">
        <v>367</v>
      </c>
      <c r="E97" s="174" t="s">
        <v>368</v>
      </c>
      <c r="F97" s="190" t="s">
        <v>369</v>
      </c>
      <c r="G97" s="175" t="s">
        <v>370</v>
      </c>
      <c r="H97" s="174" t="s">
        <v>367</v>
      </c>
      <c r="I97" s="174" t="s">
        <v>368</v>
      </c>
      <c r="J97" s="190" t="s">
        <v>369</v>
      </c>
      <c r="K97" s="175" t="s">
        <v>370</v>
      </c>
      <c r="L97" s="174" t="s">
        <v>367</v>
      </c>
      <c r="M97" s="174" t="s">
        <v>368</v>
      </c>
      <c r="N97" s="190" t="s">
        <v>369</v>
      </c>
      <c r="O97" s="175" t="s">
        <v>370</v>
      </c>
      <c r="P97" s="174" t="s">
        <v>367</v>
      </c>
      <c r="Q97" s="174" t="s">
        <v>368</v>
      </c>
      <c r="R97" s="190" t="s">
        <v>369</v>
      </c>
      <c r="S97" s="175" t="s">
        <v>370</v>
      </c>
    </row>
    <row r="98" spans="2:19" ht="29.25" customHeight="1" outlineLevel="1" x14ac:dyDescent="0.35">
      <c r="B98" s="1420"/>
      <c r="C98" s="1398"/>
      <c r="D98" s="1414"/>
      <c r="E98" s="1416"/>
      <c r="F98" s="1414"/>
      <c r="G98" s="1418"/>
      <c r="H98" s="1372"/>
      <c r="I98" s="1372"/>
      <c r="J98" s="1372"/>
      <c r="K98" s="1374"/>
      <c r="L98" s="1372"/>
      <c r="M98" s="1372"/>
      <c r="N98" s="1372"/>
      <c r="O98" s="1374"/>
      <c r="P98" s="1372"/>
      <c r="Q98" s="1372"/>
      <c r="R98" s="1372"/>
      <c r="S98" s="1374"/>
    </row>
    <row r="99" spans="2:19" ht="29.25" customHeight="1" outlineLevel="1" x14ac:dyDescent="0.35">
      <c r="B99" s="1420"/>
      <c r="C99" s="1388"/>
      <c r="D99" s="1415"/>
      <c r="E99" s="1417"/>
      <c r="F99" s="1415"/>
      <c r="G99" s="1419"/>
      <c r="H99" s="1373"/>
      <c r="I99" s="1373"/>
      <c r="J99" s="1373"/>
      <c r="K99" s="1375"/>
      <c r="L99" s="1373"/>
      <c r="M99" s="1373"/>
      <c r="N99" s="1373"/>
      <c r="O99" s="1375"/>
      <c r="P99" s="1373"/>
      <c r="Q99" s="1373"/>
      <c r="R99" s="1373"/>
      <c r="S99" s="1375"/>
    </row>
    <row r="100" spans="2:19" ht="15" thickBot="1" x14ac:dyDescent="0.4">
      <c r="B100" s="163"/>
      <c r="C100" s="163"/>
    </row>
    <row r="101" spans="2:19" ht="15" thickBot="1" x14ac:dyDescent="0.4">
      <c r="B101" s="163"/>
      <c r="C101" s="163"/>
      <c r="D101" s="1406" t="s">
        <v>310</v>
      </c>
      <c r="E101" s="1407"/>
      <c r="F101" s="1407"/>
      <c r="G101" s="1408"/>
      <c r="H101" s="1369" t="s">
        <v>371</v>
      </c>
      <c r="I101" s="1370"/>
      <c r="J101" s="1370"/>
      <c r="K101" s="1371"/>
      <c r="L101" s="1369" t="s">
        <v>312</v>
      </c>
      <c r="M101" s="1370"/>
      <c r="N101" s="1370"/>
      <c r="O101" s="1371"/>
      <c r="P101" s="1369" t="s">
        <v>313</v>
      </c>
      <c r="Q101" s="1370"/>
      <c r="R101" s="1370"/>
      <c r="S101" s="1371"/>
    </row>
    <row r="102" spans="2:19" ht="33.75" customHeight="1" x14ac:dyDescent="0.35">
      <c r="B102" s="1409" t="s">
        <v>719</v>
      </c>
      <c r="C102" s="1399" t="s">
        <v>372</v>
      </c>
      <c r="D102" s="221" t="s">
        <v>373</v>
      </c>
      <c r="E102" s="222" t="s">
        <v>374</v>
      </c>
      <c r="F102" s="1361" t="s">
        <v>375</v>
      </c>
      <c r="G102" s="1362"/>
      <c r="H102" s="221" t="s">
        <v>373</v>
      </c>
      <c r="I102" s="222" t="s">
        <v>374</v>
      </c>
      <c r="J102" s="1361" t="s">
        <v>375</v>
      </c>
      <c r="K102" s="1362"/>
      <c r="L102" s="221" t="s">
        <v>373</v>
      </c>
      <c r="M102" s="222" t="s">
        <v>374</v>
      </c>
      <c r="N102" s="1361" t="s">
        <v>375</v>
      </c>
      <c r="O102" s="1362"/>
      <c r="P102" s="221" t="s">
        <v>373</v>
      </c>
      <c r="Q102" s="222" t="s">
        <v>374</v>
      </c>
      <c r="R102" s="1361" t="s">
        <v>375</v>
      </c>
      <c r="S102" s="1362"/>
    </row>
    <row r="103" spans="2:19" ht="30" customHeight="1" x14ac:dyDescent="0.35">
      <c r="B103" s="1410"/>
      <c r="C103" s="1400"/>
      <c r="D103" s="223"/>
      <c r="E103" s="224"/>
      <c r="F103" s="1412"/>
      <c r="G103" s="1413"/>
      <c r="H103" s="225"/>
      <c r="I103" s="226"/>
      <c r="J103" s="1376"/>
      <c r="K103" s="1377"/>
      <c r="L103" s="225"/>
      <c r="M103" s="226"/>
      <c r="N103" s="1376"/>
      <c r="O103" s="1377"/>
      <c r="P103" s="225"/>
      <c r="Q103" s="226"/>
      <c r="R103" s="1376"/>
      <c r="S103" s="1377"/>
    </row>
    <row r="104" spans="2:19" ht="32.25" customHeight="1" x14ac:dyDescent="0.35">
      <c r="B104" s="1410"/>
      <c r="C104" s="1409" t="s">
        <v>376</v>
      </c>
      <c r="D104" s="227" t="s">
        <v>373</v>
      </c>
      <c r="E104" s="174" t="s">
        <v>374</v>
      </c>
      <c r="F104" s="174" t="s">
        <v>377</v>
      </c>
      <c r="G104" s="197" t="s">
        <v>378</v>
      </c>
      <c r="H104" s="227" t="s">
        <v>373</v>
      </c>
      <c r="I104" s="174" t="s">
        <v>374</v>
      </c>
      <c r="J104" s="174" t="s">
        <v>377</v>
      </c>
      <c r="K104" s="197" t="s">
        <v>378</v>
      </c>
      <c r="L104" s="227" t="s">
        <v>373</v>
      </c>
      <c r="M104" s="174" t="s">
        <v>374</v>
      </c>
      <c r="N104" s="174" t="s">
        <v>377</v>
      </c>
      <c r="O104" s="197" t="s">
        <v>378</v>
      </c>
      <c r="P104" s="227" t="s">
        <v>373</v>
      </c>
      <c r="Q104" s="174" t="s">
        <v>374</v>
      </c>
      <c r="R104" s="174" t="s">
        <v>377</v>
      </c>
      <c r="S104" s="197" t="s">
        <v>378</v>
      </c>
    </row>
    <row r="105" spans="2:19" ht="27.75" customHeight="1" x14ac:dyDescent="0.35">
      <c r="B105" s="1410"/>
      <c r="C105" s="1410"/>
      <c r="D105" s="223"/>
      <c r="E105" s="192"/>
      <c r="F105" s="208"/>
      <c r="G105" s="217"/>
      <c r="H105" s="225"/>
      <c r="I105" s="194"/>
      <c r="J105" s="210"/>
      <c r="K105" s="220"/>
      <c r="L105" s="225"/>
      <c r="M105" s="194"/>
      <c r="N105" s="210"/>
      <c r="O105" s="220"/>
      <c r="P105" s="225"/>
      <c r="Q105" s="194"/>
      <c r="R105" s="210"/>
      <c r="S105" s="220"/>
    </row>
    <row r="106" spans="2:19" ht="27.75" customHeight="1" outlineLevel="1" x14ac:dyDescent="0.35">
      <c r="B106" s="1410"/>
      <c r="C106" s="1410"/>
      <c r="D106" s="227" t="s">
        <v>373</v>
      </c>
      <c r="E106" s="174" t="s">
        <v>374</v>
      </c>
      <c r="F106" s="174" t="s">
        <v>377</v>
      </c>
      <c r="G106" s="197" t="s">
        <v>378</v>
      </c>
      <c r="H106" s="227" t="s">
        <v>373</v>
      </c>
      <c r="I106" s="174" t="s">
        <v>374</v>
      </c>
      <c r="J106" s="174" t="s">
        <v>377</v>
      </c>
      <c r="K106" s="197" t="s">
        <v>378</v>
      </c>
      <c r="L106" s="227" t="s">
        <v>373</v>
      </c>
      <c r="M106" s="174" t="s">
        <v>374</v>
      </c>
      <c r="N106" s="174" t="s">
        <v>377</v>
      </c>
      <c r="O106" s="197" t="s">
        <v>378</v>
      </c>
      <c r="P106" s="227" t="s">
        <v>373</v>
      </c>
      <c r="Q106" s="174" t="s">
        <v>374</v>
      </c>
      <c r="R106" s="174" t="s">
        <v>377</v>
      </c>
      <c r="S106" s="197" t="s">
        <v>378</v>
      </c>
    </row>
    <row r="107" spans="2:19" ht="27.75" customHeight="1" outlineLevel="1" x14ac:dyDescent="0.35">
      <c r="B107" s="1410"/>
      <c r="C107" s="1410"/>
      <c r="D107" s="223"/>
      <c r="E107" s="192"/>
      <c r="F107" s="208"/>
      <c r="G107" s="217"/>
      <c r="H107" s="225"/>
      <c r="I107" s="194"/>
      <c r="J107" s="210"/>
      <c r="K107" s="220"/>
      <c r="L107" s="225"/>
      <c r="M107" s="194"/>
      <c r="N107" s="210"/>
      <c r="O107" s="220"/>
      <c r="P107" s="225"/>
      <c r="Q107" s="194"/>
      <c r="R107" s="210"/>
      <c r="S107" s="220"/>
    </row>
    <row r="108" spans="2:19" ht="27.75" customHeight="1" outlineLevel="1" x14ac:dyDescent="0.35">
      <c r="B108" s="1410"/>
      <c r="C108" s="1410"/>
      <c r="D108" s="227" t="s">
        <v>373</v>
      </c>
      <c r="E108" s="174" t="s">
        <v>374</v>
      </c>
      <c r="F108" s="174" t="s">
        <v>377</v>
      </c>
      <c r="G108" s="197" t="s">
        <v>378</v>
      </c>
      <c r="H108" s="227" t="s">
        <v>373</v>
      </c>
      <c r="I108" s="174" t="s">
        <v>374</v>
      </c>
      <c r="J108" s="174" t="s">
        <v>377</v>
      </c>
      <c r="K108" s="197" t="s">
        <v>378</v>
      </c>
      <c r="L108" s="227" t="s">
        <v>373</v>
      </c>
      <c r="M108" s="174" t="s">
        <v>374</v>
      </c>
      <c r="N108" s="174" t="s">
        <v>377</v>
      </c>
      <c r="O108" s="197" t="s">
        <v>378</v>
      </c>
      <c r="P108" s="227" t="s">
        <v>373</v>
      </c>
      <c r="Q108" s="174" t="s">
        <v>374</v>
      </c>
      <c r="R108" s="174" t="s">
        <v>377</v>
      </c>
      <c r="S108" s="197" t="s">
        <v>378</v>
      </c>
    </row>
    <row r="109" spans="2:19" ht="27.75" customHeight="1" outlineLevel="1" x14ac:dyDescent="0.35">
      <c r="B109" s="1410"/>
      <c r="C109" s="1410"/>
      <c r="D109" s="223"/>
      <c r="E109" s="192"/>
      <c r="F109" s="208"/>
      <c r="G109" s="217"/>
      <c r="H109" s="225"/>
      <c r="I109" s="194"/>
      <c r="J109" s="210"/>
      <c r="K109" s="220"/>
      <c r="L109" s="225"/>
      <c r="M109" s="194"/>
      <c r="N109" s="210"/>
      <c r="O109" s="220"/>
      <c r="P109" s="225"/>
      <c r="Q109" s="194"/>
      <c r="R109" s="210"/>
      <c r="S109" s="220"/>
    </row>
    <row r="110" spans="2:19" ht="27.75" customHeight="1" outlineLevel="1" x14ac:dyDescent="0.35">
      <c r="B110" s="1410"/>
      <c r="C110" s="1410"/>
      <c r="D110" s="227" t="s">
        <v>373</v>
      </c>
      <c r="E110" s="174" t="s">
        <v>374</v>
      </c>
      <c r="F110" s="174" t="s">
        <v>377</v>
      </c>
      <c r="G110" s="197" t="s">
        <v>378</v>
      </c>
      <c r="H110" s="227" t="s">
        <v>373</v>
      </c>
      <c r="I110" s="174" t="s">
        <v>374</v>
      </c>
      <c r="J110" s="174" t="s">
        <v>377</v>
      </c>
      <c r="K110" s="197" t="s">
        <v>378</v>
      </c>
      <c r="L110" s="227" t="s">
        <v>373</v>
      </c>
      <c r="M110" s="174" t="s">
        <v>374</v>
      </c>
      <c r="N110" s="174" t="s">
        <v>377</v>
      </c>
      <c r="O110" s="197" t="s">
        <v>378</v>
      </c>
      <c r="P110" s="227" t="s">
        <v>373</v>
      </c>
      <c r="Q110" s="174" t="s">
        <v>374</v>
      </c>
      <c r="R110" s="174" t="s">
        <v>377</v>
      </c>
      <c r="S110" s="197" t="s">
        <v>378</v>
      </c>
    </row>
    <row r="111" spans="2:19" ht="27.75" customHeight="1" outlineLevel="1" x14ac:dyDescent="0.35">
      <c r="B111" s="1411"/>
      <c r="C111" s="1411"/>
      <c r="D111" s="223"/>
      <c r="E111" s="192"/>
      <c r="F111" s="208"/>
      <c r="G111" s="217"/>
      <c r="H111" s="225"/>
      <c r="I111" s="194"/>
      <c r="J111" s="210"/>
      <c r="K111" s="220"/>
      <c r="L111" s="225"/>
      <c r="M111" s="194"/>
      <c r="N111" s="210"/>
      <c r="O111" s="220"/>
      <c r="P111" s="225"/>
      <c r="Q111" s="194"/>
      <c r="R111" s="210"/>
      <c r="S111" s="220"/>
    </row>
    <row r="112" spans="2:19" ht="26.25" customHeight="1" x14ac:dyDescent="0.35">
      <c r="B112" s="1401" t="s">
        <v>379</v>
      </c>
      <c r="C112" s="1404" t="s">
        <v>380</v>
      </c>
      <c r="D112" s="228" t="s">
        <v>381</v>
      </c>
      <c r="E112" s="228" t="s">
        <v>382</v>
      </c>
      <c r="F112" s="228" t="s">
        <v>309</v>
      </c>
      <c r="G112" s="229" t="s">
        <v>383</v>
      </c>
      <c r="H112" s="230" t="s">
        <v>381</v>
      </c>
      <c r="I112" s="228" t="s">
        <v>382</v>
      </c>
      <c r="J112" s="228" t="s">
        <v>309</v>
      </c>
      <c r="K112" s="229" t="s">
        <v>383</v>
      </c>
      <c r="L112" s="228" t="s">
        <v>381</v>
      </c>
      <c r="M112" s="228" t="s">
        <v>382</v>
      </c>
      <c r="N112" s="228" t="s">
        <v>309</v>
      </c>
      <c r="O112" s="229" t="s">
        <v>383</v>
      </c>
      <c r="P112" s="228" t="s">
        <v>381</v>
      </c>
      <c r="Q112" s="228" t="s">
        <v>382</v>
      </c>
      <c r="R112" s="228" t="s">
        <v>309</v>
      </c>
      <c r="S112" s="229" t="s">
        <v>383</v>
      </c>
    </row>
    <row r="113" spans="2:19" ht="32.25" customHeight="1" x14ac:dyDescent="0.35">
      <c r="B113" s="1402"/>
      <c r="C113" s="1405"/>
      <c r="D113" s="191"/>
      <c r="E113" s="191"/>
      <c r="F113" s="191"/>
      <c r="G113" s="191"/>
      <c r="H113" s="213"/>
      <c r="I113" s="193"/>
      <c r="J113" s="193"/>
      <c r="K113" s="214"/>
      <c r="L113" s="193"/>
      <c r="M113" s="193"/>
      <c r="N113" s="193"/>
      <c r="O113" s="214"/>
      <c r="P113" s="193"/>
      <c r="Q113" s="193"/>
      <c r="R113" s="193"/>
      <c r="S113" s="214"/>
    </row>
    <row r="114" spans="2:19" ht="32.25" customHeight="1" x14ac:dyDescent="0.35">
      <c r="B114" s="1402"/>
      <c r="C114" s="1401" t="s">
        <v>384</v>
      </c>
      <c r="D114" s="174" t="s">
        <v>385</v>
      </c>
      <c r="E114" s="1365" t="s">
        <v>386</v>
      </c>
      <c r="F114" s="1366"/>
      <c r="G114" s="175" t="s">
        <v>387</v>
      </c>
      <c r="H114" s="174" t="s">
        <v>385</v>
      </c>
      <c r="I114" s="1365" t="s">
        <v>386</v>
      </c>
      <c r="J114" s="1366"/>
      <c r="K114" s="175" t="s">
        <v>387</v>
      </c>
      <c r="L114" s="174" t="s">
        <v>385</v>
      </c>
      <c r="M114" s="1365" t="s">
        <v>386</v>
      </c>
      <c r="N114" s="1366"/>
      <c r="O114" s="175" t="s">
        <v>387</v>
      </c>
      <c r="P114" s="174" t="s">
        <v>385</v>
      </c>
      <c r="Q114" s="174" t="s">
        <v>386</v>
      </c>
      <c r="R114" s="1365" t="s">
        <v>386</v>
      </c>
      <c r="S114" s="1366"/>
    </row>
    <row r="115" spans="2:19" ht="23.25" customHeight="1" x14ac:dyDescent="0.35">
      <c r="B115" s="1402"/>
      <c r="C115" s="1402"/>
      <c r="D115" s="231"/>
      <c r="E115" s="1389"/>
      <c r="F115" s="1390"/>
      <c r="G115" s="178"/>
      <c r="H115" s="232"/>
      <c r="I115" s="1367"/>
      <c r="J115" s="1368"/>
      <c r="K115" s="203"/>
      <c r="L115" s="232"/>
      <c r="M115" s="1367"/>
      <c r="N115" s="1368"/>
      <c r="O115" s="181"/>
      <c r="P115" s="232"/>
      <c r="Q115" s="179"/>
      <c r="R115" s="1367"/>
      <c r="S115" s="1368"/>
    </row>
    <row r="116" spans="2:19" ht="23.25" customHeight="1" outlineLevel="1" x14ac:dyDescent="0.35">
      <c r="B116" s="1402"/>
      <c r="C116" s="1402"/>
      <c r="D116" s="174" t="s">
        <v>385</v>
      </c>
      <c r="E116" s="1365" t="s">
        <v>386</v>
      </c>
      <c r="F116" s="1366"/>
      <c r="G116" s="175" t="s">
        <v>387</v>
      </c>
      <c r="H116" s="174" t="s">
        <v>385</v>
      </c>
      <c r="I116" s="1365" t="s">
        <v>386</v>
      </c>
      <c r="J116" s="1366"/>
      <c r="K116" s="175" t="s">
        <v>387</v>
      </c>
      <c r="L116" s="174" t="s">
        <v>385</v>
      </c>
      <c r="M116" s="1365" t="s">
        <v>386</v>
      </c>
      <c r="N116" s="1366"/>
      <c r="O116" s="175" t="s">
        <v>387</v>
      </c>
      <c r="P116" s="174" t="s">
        <v>385</v>
      </c>
      <c r="Q116" s="174" t="s">
        <v>386</v>
      </c>
      <c r="R116" s="1365" t="s">
        <v>386</v>
      </c>
      <c r="S116" s="1366"/>
    </row>
    <row r="117" spans="2:19" ht="23.25" customHeight="1" outlineLevel="1" x14ac:dyDescent="0.35">
      <c r="B117" s="1402"/>
      <c r="C117" s="1402"/>
      <c r="D117" s="231"/>
      <c r="E117" s="1389"/>
      <c r="F117" s="1390"/>
      <c r="G117" s="178"/>
      <c r="H117" s="232"/>
      <c r="I117" s="1367"/>
      <c r="J117" s="1368"/>
      <c r="K117" s="181"/>
      <c r="L117" s="232"/>
      <c r="M117" s="1367"/>
      <c r="N117" s="1368"/>
      <c r="O117" s="181"/>
      <c r="P117" s="232"/>
      <c r="Q117" s="179"/>
      <c r="R117" s="1367"/>
      <c r="S117" s="1368"/>
    </row>
    <row r="118" spans="2:19" ht="23.25" customHeight="1" outlineLevel="1" x14ac:dyDescent="0.35">
      <c r="B118" s="1402"/>
      <c r="C118" s="1402"/>
      <c r="D118" s="174" t="s">
        <v>385</v>
      </c>
      <c r="E118" s="1365" t="s">
        <v>386</v>
      </c>
      <c r="F118" s="1366"/>
      <c r="G118" s="175" t="s">
        <v>387</v>
      </c>
      <c r="H118" s="174" t="s">
        <v>385</v>
      </c>
      <c r="I118" s="1365" t="s">
        <v>386</v>
      </c>
      <c r="J118" s="1366"/>
      <c r="K118" s="175" t="s">
        <v>387</v>
      </c>
      <c r="L118" s="174" t="s">
        <v>385</v>
      </c>
      <c r="M118" s="1365" t="s">
        <v>386</v>
      </c>
      <c r="N118" s="1366"/>
      <c r="O118" s="175" t="s">
        <v>387</v>
      </c>
      <c r="P118" s="174" t="s">
        <v>385</v>
      </c>
      <c r="Q118" s="174" t="s">
        <v>386</v>
      </c>
      <c r="R118" s="1365" t="s">
        <v>386</v>
      </c>
      <c r="S118" s="1366"/>
    </row>
    <row r="119" spans="2:19" ht="23.25" customHeight="1" outlineLevel="1" x14ac:dyDescent="0.35">
      <c r="B119" s="1402"/>
      <c r="C119" s="1402"/>
      <c r="D119" s="231"/>
      <c r="E119" s="1389"/>
      <c r="F119" s="1390"/>
      <c r="G119" s="178"/>
      <c r="H119" s="232"/>
      <c r="I119" s="1367"/>
      <c r="J119" s="1368"/>
      <c r="K119" s="181"/>
      <c r="L119" s="232"/>
      <c r="M119" s="1367"/>
      <c r="N119" s="1368"/>
      <c r="O119" s="181"/>
      <c r="P119" s="232"/>
      <c r="Q119" s="179"/>
      <c r="R119" s="1367"/>
      <c r="S119" s="1368"/>
    </row>
    <row r="120" spans="2:19" ht="23.25" customHeight="1" outlineLevel="1" x14ac:dyDescent="0.35">
      <c r="B120" s="1402"/>
      <c r="C120" s="1402"/>
      <c r="D120" s="174" t="s">
        <v>385</v>
      </c>
      <c r="E120" s="1365" t="s">
        <v>386</v>
      </c>
      <c r="F120" s="1366"/>
      <c r="G120" s="175" t="s">
        <v>387</v>
      </c>
      <c r="H120" s="174" t="s">
        <v>385</v>
      </c>
      <c r="I120" s="1365" t="s">
        <v>386</v>
      </c>
      <c r="J120" s="1366"/>
      <c r="K120" s="175" t="s">
        <v>387</v>
      </c>
      <c r="L120" s="174" t="s">
        <v>385</v>
      </c>
      <c r="M120" s="1365" t="s">
        <v>386</v>
      </c>
      <c r="N120" s="1366"/>
      <c r="O120" s="175" t="s">
        <v>387</v>
      </c>
      <c r="P120" s="174" t="s">
        <v>385</v>
      </c>
      <c r="Q120" s="174" t="s">
        <v>386</v>
      </c>
      <c r="R120" s="1365" t="s">
        <v>386</v>
      </c>
      <c r="S120" s="1366"/>
    </row>
    <row r="121" spans="2:19" ht="23.25" customHeight="1" outlineLevel="1" x14ac:dyDescent="0.35">
      <c r="B121" s="1403"/>
      <c r="C121" s="1403"/>
      <c r="D121" s="231"/>
      <c r="E121" s="1389"/>
      <c r="F121" s="1390"/>
      <c r="G121" s="178"/>
      <c r="H121" s="232"/>
      <c r="I121" s="1367"/>
      <c r="J121" s="1368"/>
      <c r="K121" s="181"/>
      <c r="L121" s="232"/>
      <c r="M121" s="1367"/>
      <c r="N121" s="1368"/>
      <c r="O121" s="181"/>
      <c r="P121" s="232"/>
      <c r="Q121" s="179"/>
      <c r="R121" s="1367"/>
      <c r="S121" s="1368"/>
    </row>
    <row r="122" spans="2:19" ht="15" thickBot="1" x14ac:dyDescent="0.4">
      <c r="B122" s="163"/>
      <c r="C122" s="163"/>
    </row>
    <row r="123" spans="2:19" ht="15" thickBot="1" x14ac:dyDescent="0.4">
      <c r="B123" s="163"/>
      <c r="C123" s="163"/>
      <c r="D123" s="1406" t="s">
        <v>310</v>
      </c>
      <c r="E123" s="1407"/>
      <c r="F123" s="1407"/>
      <c r="G123" s="1408"/>
      <c r="H123" s="1406" t="s">
        <v>311</v>
      </c>
      <c r="I123" s="1407"/>
      <c r="J123" s="1407"/>
      <c r="K123" s="1408"/>
      <c r="L123" s="1407" t="s">
        <v>312</v>
      </c>
      <c r="M123" s="1407"/>
      <c r="N123" s="1407"/>
      <c r="O123" s="1407"/>
      <c r="P123" s="1406" t="s">
        <v>313</v>
      </c>
      <c r="Q123" s="1407"/>
      <c r="R123" s="1407"/>
      <c r="S123" s="1408"/>
    </row>
    <row r="124" spans="2:19" x14ac:dyDescent="0.35">
      <c r="B124" s="1399" t="s">
        <v>720</v>
      </c>
      <c r="C124" s="1399" t="s">
        <v>388</v>
      </c>
      <c r="D124" s="1361" t="s">
        <v>389</v>
      </c>
      <c r="E124" s="1391"/>
      <c r="F124" s="1391"/>
      <c r="G124" s="1362"/>
      <c r="H124" s="1361" t="s">
        <v>389</v>
      </c>
      <c r="I124" s="1391"/>
      <c r="J124" s="1391"/>
      <c r="K124" s="1362"/>
      <c r="L124" s="1361" t="s">
        <v>389</v>
      </c>
      <c r="M124" s="1391"/>
      <c r="N124" s="1391"/>
      <c r="O124" s="1362"/>
      <c r="P124" s="1361" t="s">
        <v>389</v>
      </c>
      <c r="Q124" s="1391"/>
      <c r="R124" s="1391"/>
      <c r="S124" s="1362"/>
    </row>
    <row r="125" spans="2:19" ht="45" customHeight="1" x14ac:dyDescent="0.35">
      <c r="B125" s="1400"/>
      <c r="C125" s="1400"/>
      <c r="D125" s="1392"/>
      <c r="E125" s="1393"/>
      <c r="F125" s="1393"/>
      <c r="G125" s="1394"/>
      <c r="H125" s="1395"/>
      <c r="I125" s="1396"/>
      <c r="J125" s="1396"/>
      <c r="K125" s="1397"/>
      <c r="L125" s="1395"/>
      <c r="M125" s="1396"/>
      <c r="N125" s="1396"/>
      <c r="O125" s="1397"/>
      <c r="P125" s="1395"/>
      <c r="Q125" s="1396"/>
      <c r="R125" s="1396"/>
      <c r="S125" s="1397"/>
    </row>
    <row r="126" spans="2:19" ht="32.25" customHeight="1" x14ac:dyDescent="0.35">
      <c r="B126" s="1387" t="s">
        <v>390</v>
      </c>
      <c r="C126" s="1387" t="s">
        <v>391</v>
      </c>
      <c r="D126" s="228" t="s">
        <v>392</v>
      </c>
      <c r="E126" s="196" t="s">
        <v>309</v>
      </c>
      <c r="F126" s="174" t="s">
        <v>330</v>
      </c>
      <c r="G126" s="175" t="s">
        <v>346</v>
      </c>
      <c r="H126" s="228" t="s">
        <v>392</v>
      </c>
      <c r="I126" s="242" t="s">
        <v>309</v>
      </c>
      <c r="J126" s="174" t="s">
        <v>330</v>
      </c>
      <c r="K126" s="175" t="s">
        <v>346</v>
      </c>
      <c r="L126" s="228" t="s">
        <v>392</v>
      </c>
      <c r="M126" s="242" t="s">
        <v>309</v>
      </c>
      <c r="N126" s="174" t="s">
        <v>330</v>
      </c>
      <c r="O126" s="175" t="s">
        <v>346</v>
      </c>
      <c r="P126" s="228" t="s">
        <v>392</v>
      </c>
      <c r="Q126" s="242" t="s">
        <v>309</v>
      </c>
      <c r="R126" s="174" t="s">
        <v>330</v>
      </c>
      <c r="S126" s="175" t="s">
        <v>346</v>
      </c>
    </row>
    <row r="127" spans="2:19" ht="23.25" customHeight="1" x14ac:dyDescent="0.35">
      <c r="B127" s="1398"/>
      <c r="C127" s="1388"/>
      <c r="D127" s="191"/>
      <c r="E127" s="233"/>
      <c r="F127" s="177"/>
      <c r="G127" s="212"/>
      <c r="H127" s="193"/>
      <c r="I127" s="245"/>
      <c r="J127" s="193"/>
      <c r="K127" s="243"/>
      <c r="L127" s="193"/>
      <c r="M127" s="245"/>
      <c r="N127" s="193"/>
      <c r="O127" s="243"/>
      <c r="P127" s="193"/>
      <c r="Q127" s="245"/>
      <c r="R127" s="193"/>
      <c r="S127" s="243"/>
    </row>
    <row r="128" spans="2:19" ht="29.25" customHeight="1" x14ac:dyDescent="0.35">
      <c r="B128" s="1398"/>
      <c r="C128" s="1387" t="s">
        <v>393</v>
      </c>
      <c r="D128" s="174" t="s">
        <v>394</v>
      </c>
      <c r="E128" s="1365" t="s">
        <v>395</v>
      </c>
      <c r="F128" s="1366"/>
      <c r="G128" s="175" t="s">
        <v>396</v>
      </c>
      <c r="H128" s="174" t="s">
        <v>394</v>
      </c>
      <c r="I128" s="1365" t="s">
        <v>395</v>
      </c>
      <c r="J128" s="1366"/>
      <c r="K128" s="175" t="s">
        <v>396</v>
      </c>
      <c r="L128" s="174" t="s">
        <v>394</v>
      </c>
      <c r="M128" s="1365" t="s">
        <v>395</v>
      </c>
      <c r="N128" s="1366"/>
      <c r="O128" s="175" t="s">
        <v>396</v>
      </c>
      <c r="P128" s="174" t="s">
        <v>394</v>
      </c>
      <c r="Q128" s="1365" t="s">
        <v>395</v>
      </c>
      <c r="R128" s="1366"/>
      <c r="S128" s="175" t="s">
        <v>396</v>
      </c>
    </row>
    <row r="129" spans="2:19" ht="39" customHeight="1" x14ac:dyDescent="0.35">
      <c r="B129" s="1388"/>
      <c r="C129" s="1388"/>
      <c r="D129" s="231"/>
      <c r="E129" s="1389"/>
      <c r="F129" s="1390"/>
      <c r="G129" s="178"/>
      <c r="H129" s="232"/>
      <c r="I129" s="1367"/>
      <c r="J129" s="1368"/>
      <c r="K129" s="181"/>
      <c r="L129" s="232"/>
      <c r="M129" s="1367"/>
      <c r="N129" s="1368"/>
      <c r="O129" s="181"/>
      <c r="P129" s="232"/>
      <c r="Q129" s="1367"/>
      <c r="R129" s="1368"/>
      <c r="S129" s="181"/>
    </row>
    <row r="133" spans="2:19" hidden="1" x14ac:dyDescent="0.35"/>
    <row r="134" spans="2:19" hidden="1" x14ac:dyDescent="0.35"/>
    <row r="135" spans="2:19" hidden="1" x14ac:dyDescent="0.35">
      <c r="D135" s="143" t="s">
        <v>397</v>
      </c>
    </row>
    <row r="136" spans="2:19" hidden="1" x14ac:dyDescent="0.35">
      <c r="D136" s="143" t="s">
        <v>398</v>
      </c>
      <c r="E136" s="143" t="s">
        <v>399</v>
      </c>
      <c r="F136" s="143" t="s">
        <v>400</v>
      </c>
      <c r="H136" s="143" t="s">
        <v>401</v>
      </c>
      <c r="I136" s="143" t="s">
        <v>402</v>
      </c>
    </row>
    <row r="137" spans="2:19" hidden="1" x14ac:dyDescent="0.35">
      <c r="D137" s="143" t="s">
        <v>403</v>
      </c>
      <c r="E137" s="143" t="s">
        <v>404</v>
      </c>
      <c r="F137" s="143" t="s">
        <v>405</v>
      </c>
      <c r="H137" s="143" t="s">
        <v>406</v>
      </c>
      <c r="I137" s="143" t="s">
        <v>407</v>
      </c>
    </row>
    <row r="138" spans="2:19" hidden="1" x14ac:dyDescent="0.35">
      <c r="D138" s="143" t="s">
        <v>408</v>
      </c>
      <c r="E138" s="143" t="s">
        <v>409</v>
      </c>
      <c r="F138" s="143" t="s">
        <v>410</v>
      </c>
      <c r="H138" s="143" t="s">
        <v>411</v>
      </c>
      <c r="I138" s="143" t="s">
        <v>412</v>
      </c>
    </row>
    <row r="139" spans="2:19" hidden="1" x14ac:dyDescent="0.35">
      <c r="D139" s="143" t="s">
        <v>413</v>
      </c>
      <c r="F139" s="143" t="s">
        <v>414</v>
      </c>
      <c r="G139" s="143" t="s">
        <v>415</v>
      </c>
      <c r="H139" s="143" t="s">
        <v>416</v>
      </c>
      <c r="I139" s="143" t="s">
        <v>417</v>
      </c>
      <c r="K139" s="143" t="s">
        <v>418</v>
      </c>
    </row>
    <row r="140" spans="2:19" hidden="1" x14ac:dyDescent="0.35">
      <c r="D140" s="143" t="s">
        <v>419</v>
      </c>
      <c r="F140" s="143" t="s">
        <v>420</v>
      </c>
      <c r="G140" s="143" t="s">
        <v>421</v>
      </c>
      <c r="H140" s="143" t="s">
        <v>422</v>
      </c>
      <c r="I140" s="143" t="s">
        <v>423</v>
      </c>
      <c r="K140" s="143" t="s">
        <v>424</v>
      </c>
      <c r="L140" s="143" t="s">
        <v>425</v>
      </c>
    </row>
    <row r="141" spans="2:19" hidden="1" x14ac:dyDescent="0.35">
      <c r="D141" s="143" t="s">
        <v>426</v>
      </c>
      <c r="E141" s="234" t="s">
        <v>427</v>
      </c>
      <c r="G141" s="143" t="s">
        <v>428</v>
      </c>
      <c r="H141" s="143" t="s">
        <v>429</v>
      </c>
      <c r="K141" s="143" t="s">
        <v>430</v>
      </c>
      <c r="L141" s="143" t="s">
        <v>431</v>
      </c>
    </row>
    <row r="142" spans="2:19" hidden="1" x14ac:dyDescent="0.35">
      <c r="D142" s="143" t="s">
        <v>432</v>
      </c>
      <c r="E142" s="235" t="s">
        <v>433</v>
      </c>
      <c r="K142" s="143" t="s">
        <v>434</v>
      </c>
      <c r="L142" s="143" t="s">
        <v>435</v>
      </c>
    </row>
    <row r="143" spans="2:19" hidden="1" x14ac:dyDescent="0.35">
      <c r="E143" s="236" t="s">
        <v>436</v>
      </c>
      <c r="H143" s="143" t="s">
        <v>437</v>
      </c>
      <c r="K143" s="143" t="s">
        <v>438</v>
      </c>
      <c r="L143" s="143" t="s">
        <v>439</v>
      </c>
    </row>
    <row r="144" spans="2:19" hidden="1" x14ac:dyDescent="0.35">
      <c r="H144" s="143" t="s">
        <v>440</v>
      </c>
      <c r="K144" s="143" t="s">
        <v>441</v>
      </c>
      <c r="L144" s="143" t="s">
        <v>442</v>
      </c>
    </row>
    <row r="145" spans="2:12" hidden="1" x14ac:dyDescent="0.35">
      <c r="H145" s="143" t="s">
        <v>443</v>
      </c>
      <c r="K145" s="143" t="s">
        <v>444</v>
      </c>
      <c r="L145" s="143" t="s">
        <v>445</v>
      </c>
    </row>
    <row r="146" spans="2:12" hidden="1" x14ac:dyDescent="0.35">
      <c r="B146" s="143" t="s">
        <v>446</v>
      </c>
      <c r="C146" s="143" t="s">
        <v>447</v>
      </c>
      <c r="D146" s="143" t="s">
        <v>446</v>
      </c>
      <c r="G146" s="143" t="s">
        <v>448</v>
      </c>
      <c r="H146" s="143" t="s">
        <v>449</v>
      </c>
      <c r="J146" s="143" t="s">
        <v>277</v>
      </c>
      <c r="K146" s="143" t="s">
        <v>450</v>
      </c>
      <c r="L146" s="143" t="s">
        <v>451</v>
      </c>
    </row>
    <row r="147" spans="2:12" hidden="1" x14ac:dyDescent="0.35">
      <c r="B147" s="143">
        <v>1</v>
      </c>
      <c r="C147" s="143" t="s">
        <v>452</v>
      </c>
      <c r="D147" s="143" t="s">
        <v>453</v>
      </c>
      <c r="E147" s="143" t="s">
        <v>346</v>
      </c>
      <c r="F147" s="143" t="s">
        <v>11</v>
      </c>
      <c r="G147" s="143" t="s">
        <v>454</v>
      </c>
      <c r="H147" s="143" t="s">
        <v>455</v>
      </c>
      <c r="J147" s="143" t="s">
        <v>430</v>
      </c>
      <c r="K147" s="143" t="s">
        <v>456</v>
      </c>
    </row>
    <row r="148" spans="2:12" hidden="1" x14ac:dyDescent="0.35">
      <c r="B148" s="143">
        <v>2</v>
      </c>
      <c r="C148" s="143" t="s">
        <v>457</v>
      </c>
      <c r="D148" s="143" t="s">
        <v>458</v>
      </c>
      <c r="E148" s="143" t="s">
        <v>330</v>
      </c>
      <c r="F148" s="143" t="s">
        <v>18</v>
      </c>
      <c r="G148" s="143" t="s">
        <v>459</v>
      </c>
      <c r="J148" s="143" t="s">
        <v>460</v>
      </c>
      <c r="K148" s="143" t="s">
        <v>461</v>
      </c>
    </row>
    <row r="149" spans="2:12" hidden="1" x14ac:dyDescent="0.35">
      <c r="B149" s="143">
        <v>3</v>
      </c>
      <c r="C149" s="143" t="s">
        <v>462</v>
      </c>
      <c r="D149" s="143" t="s">
        <v>463</v>
      </c>
      <c r="E149" s="143" t="s">
        <v>309</v>
      </c>
      <c r="G149" s="143" t="s">
        <v>464</v>
      </c>
      <c r="J149" s="143" t="s">
        <v>465</v>
      </c>
      <c r="K149" s="143" t="s">
        <v>466</v>
      </c>
    </row>
    <row r="150" spans="2:12" hidden="1" x14ac:dyDescent="0.35">
      <c r="B150" s="143">
        <v>4</v>
      </c>
      <c r="C150" s="143" t="s">
        <v>455</v>
      </c>
      <c r="H150" s="143" t="s">
        <v>467</v>
      </c>
      <c r="I150" s="143" t="s">
        <v>468</v>
      </c>
      <c r="J150" s="143" t="s">
        <v>469</v>
      </c>
      <c r="K150" s="143" t="s">
        <v>470</v>
      </c>
    </row>
    <row r="151" spans="2:12" hidden="1" x14ac:dyDescent="0.35">
      <c r="D151" s="143" t="s">
        <v>464</v>
      </c>
      <c r="H151" s="143" t="s">
        <v>471</v>
      </c>
      <c r="I151" s="143" t="s">
        <v>472</v>
      </c>
      <c r="J151" s="143" t="s">
        <v>473</v>
      </c>
      <c r="K151" s="143" t="s">
        <v>474</v>
      </c>
    </row>
    <row r="152" spans="2:12" hidden="1" x14ac:dyDescent="0.35">
      <c r="D152" s="143" t="s">
        <v>475</v>
      </c>
      <c r="H152" s="143" t="s">
        <v>476</v>
      </c>
      <c r="I152" s="143" t="s">
        <v>477</v>
      </c>
      <c r="J152" s="143" t="s">
        <v>478</v>
      </c>
      <c r="K152" s="143" t="s">
        <v>479</v>
      </c>
    </row>
    <row r="153" spans="2:12" hidden="1" x14ac:dyDescent="0.35">
      <c r="D153" s="143" t="s">
        <v>480</v>
      </c>
      <c r="H153" s="143" t="s">
        <v>481</v>
      </c>
      <c r="J153" s="143" t="s">
        <v>482</v>
      </c>
      <c r="K153" s="143" t="s">
        <v>483</v>
      </c>
    </row>
    <row r="154" spans="2:12" hidden="1" x14ac:dyDescent="0.35">
      <c r="H154" s="143" t="s">
        <v>484</v>
      </c>
      <c r="J154" s="143" t="s">
        <v>485</v>
      </c>
    </row>
    <row r="155" spans="2:12" ht="58" hidden="1" x14ac:dyDescent="0.35">
      <c r="D155" s="237" t="s">
        <v>486</v>
      </c>
      <c r="E155" s="143" t="s">
        <v>487</v>
      </c>
      <c r="F155" s="143" t="s">
        <v>488</v>
      </c>
      <c r="G155" s="143" t="s">
        <v>489</v>
      </c>
      <c r="H155" s="143" t="s">
        <v>490</v>
      </c>
      <c r="I155" s="143" t="s">
        <v>491</v>
      </c>
      <c r="J155" s="143" t="s">
        <v>492</v>
      </c>
      <c r="K155" s="143" t="s">
        <v>493</v>
      </c>
    </row>
    <row r="156" spans="2:12" ht="72.5" hidden="1" x14ac:dyDescent="0.35">
      <c r="B156" s="143" t="s">
        <v>596</v>
      </c>
      <c r="C156" s="143" t="s">
        <v>595</v>
      </c>
      <c r="D156" s="237" t="s">
        <v>494</v>
      </c>
      <c r="E156" s="143" t="s">
        <v>495</v>
      </c>
      <c r="F156" s="143" t="s">
        <v>496</v>
      </c>
      <c r="G156" s="143" t="s">
        <v>497</v>
      </c>
      <c r="H156" s="143" t="s">
        <v>498</v>
      </c>
      <c r="I156" s="143" t="s">
        <v>499</v>
      </c>
      <c r="J156" s="143" t="s">
        <v>500</v>
      </c>
      <c r="K156" s="143" t="s">
        <v>501</v>
      </c>
    </row>
    <row r="157" spans="2:12" ht="43.5" hidden="1" x14ac:dyDescent="0.35">
      <c r="B157" s="143" t="s">
        <v>597</v>
      </c>
      <c r="C157" s="143" t="s">
        <v>594</v>
      </c>
      <c r="D157" s="237" t="s">
        <v>502</v>
      </c>
      <c r="E157" s="143" t="s">
        <v>503</v>
      </c>
      <c r="F157" s="143" t="s">
        <v>504</v>
      </c>
      <c r="G157" s="143" t="s">
        <v>505</v>
      </c>
      <c r="H157" s="143" t="s">
        <v>506</v>
      </c>
      <c r="I157" s="143" t="s">
        <v>507</v>
      </c>
      <c r="J157" s="143" t="s">
        <v>508</v>
      </c>
      <c r="K157" s="143" t="s">
        <v>509</v>
      </c>
    </row>
    <row r="158" spans="2:12" hidden="1" x14ac:dyDescent="0.35">
      <c r="B158" s="143" t="s">
        <v>598</v>
      </c>
      <c r="C158" s="143" t="s">
        <v>593</v>
      </c>
      <c r="F158" s="143" t="s">
        <v>510</v>
      </c>
      <c r="G158" s="143" t="s">
        <v>511</v>
      </c>
      <c r="H158" s="143" t="s">
        <v>512</v>
      </c>
      <c r="I158" s="143" t="s">
        <v>513</v>
      </c>
      <c r="J158" s="143" t="s">
        <v>514</v>
      </c>
      <c r="K158" s="143" t="s">
        <v>515</v>
      </c>
    </row>
    <row r="159" spans="2:12" hidden="1" x14ac:dyDescent="0.35">
      <c r="B159" s="143" t="s">
        <v>599</v>
      </c>
      <c r="G159" s="143" t="s">
        <v>516</v>
      </c>
      <c r="H159" s="143" t="s">
        <v>517</v>
      </c>
      <c r="I159" s="143" t="s">
        <v>518</v>
      </c>
      <c r="J159" s="143" t="s">
        <v>519</v>
      </c>
      <c r="K159" s="143" t="s">
        <v>520</v>
      </c>
    </row>
    <row r="160" spans="2:12" hidden="1" x14ac:dyDescent="0.35">
      <c r="C160" s="143" t="s">
        <v>521</v>
      </c>
      <c r="J160" s="143" t="s">
        <v>522</v>
      </c>
    </row>
    <row r="161" spans="2:10" hidden="1" x14ac:dyDescent="0.35">
      <c r="C161" s="143" t="s">
        <v>523</v>
      </c>
      <c r="I161" s="143" t="s">
        <v>524</v>
      </c>
      <c r="J161" s="143" t="s">
        <v>525</v>
      </c>
    </row>
    <row r="162" spans="2:10" hidden="1" x14ac:dyDescent="0.35">
      <c r="B162" s="246" t="s">
        <v>600</v>
      </c>
      <c r="C162" s="143" t="s">
        <v>526</v>
      </c>
      <c r="I162" s="143" t="s">
        <v>527</v>
      </c>
      <c r="J162" s="143" t="s">
        <v>528</v>
      </c>
    </row>
    <row r="163" spans="2:10" hidden="1" x14ac:dyDescent="0.35">
      <c r="B163" s="246" t="s">
        <v>29</v>
      </c>
      <c r="C163" s="143" t="s">
        <v>529</v>
      </c>
      <c r="D163" s="143" t="s">
        <v>530</v>
      </c>
      <c r="E163" s="143" t="s">
        <v>531</v>
      </c>
      <c r="I163" s="143" t="s">
        <v>532</v>
      </c>
      <c r="J163" s="143" t="s">
        <v>277</v>
      </c>
    </row>
    <row r="164" spans="2:10" hidden="1" x14ac:dyDescent="0.35">
      <c r="B164" s="246" t="s">
        <v>16</v>
      </c>
      <c r="D164" s="143" t="s">
        <v>533</v>
      </c>
      <c r="E164" s="143" t="s">
        <v>534</v>
      </c>
      <c r="H164" s="143" t="s">
        <v>406</v>
      </c>
      <c r="I164" s="143" t="s">
        <v>535</v>
      </c>
    </row>
    <row r="165" spans="2:10" hidden="1" x14ac:dyDescent="0.35">
      <c r="B165" s="246" t="s">
        <v>34</v>
      </c>
      <c r="D165" s="143" t="s">
        <v>536</v>
      </c>
      <c r="E165" s="143" t="s">
        <v>537</v>
      </c>
      <c r="H165" s="143" t="s">
        <v>416</v>
      </c>
      <c r="I165" s="143" t="s">
        <v>538</v>
      </c>
      <c r="J165" s="143" t="s">
        <v>539</v>
      </c>
    </row>
    <row r="166" spans="2:10" hidden="1" x14ac:dyDescent="0.35">
      <c r="B166" s="246" t="s">
        <v>601</v>
      </c>
      <c r="C166" s="143" t="s">
        <v>540</v>
      </c>
      <c r="D166" s="143" t="s">
        <v>541</v>
      </c>
      <c r="H166" s="143" t="s">
        <v>422</v>
      </c>
      <c r="I166" s="143" t="s">
        <v>542</v>
      </c>
      <c r="J166" s="143" t="s">
        <v>543</v>
      </c>
    </row>
    <row r="167" spans="2:10" hidden="1" x14ac:dyDescent="0.35">
      <c r="B167" s="246" t="s">
        <v>602</v>
      </c>
      <c r="C167" s="143" t="s">
        <v>544</v>
      </c>
      <c r="H167" s="143" t="s">
        <v>429</v>
      </c>
      <c r="I167" s="143" t="s">
        <v>545</v>
      </c>
    </row>
    <row r="168" spans="2:10" hidden="1" x14ac:dyDescent="0.35">
      <c r="B168" s="246" t="s">
        <v>603</v>
      </c>
      <c r="C168" s="143" t="s">
        <v>546</v>
      </c>
      <c r="E168" s="143" t="s">
        <v>547</v>
      </c>
      <c r="H168" s="143" t="s">
        <v>548</v>
      </c>
      <c r="I168" s="143" t="s">
        <v>549</v>
      </c>
    </row>
    <row r="169" spans="2:10" hidden="1" x14ac:dyDescent="0.35">
      <c r="B169" s="246" t="s">
        <v>604</v>
      </c>
      <c r="C169" s="143" t="s">
        <v>550</v>
      </c>
      <c r="E169" s="143" t="s">
        <v>551</v>
      </c>
      <c r="H169" s="143" t="s">
        <v>552</v>
      </c>
      <c r="I169" s="143" t="s">
        <v>553</v>
      </c>
    </row>
    <row r="170" spans="2:10" hidden="1" x14ac:dyDescent="0.35">
      <c r="B170" s="246" t="s">
        <v>605</v>
      </c>
      <c r="C170" s="143" t="s">
        <v>554</v>
      </c>
      <c r="E170" s="143" t="s">
        <v>555</v>
      </c>
      <c r="H170" s="143" t="s">
        <v>556</v>
      </c>
      <c r="I170" s="143" t="s">
        <v>557</v>
      </c>
    </row>
    <row r="171" spans="2:10" hidden="1" x14ac:dyDescent="0.35">
      <c r="B171" s="246" t="s">
        <v>606</v>
      </c>
      <c r="C171" s="143" t="s">
        <v>558</v>
      </c>
      <c r="E171" s="143" t="s">
        <v>559</v>
      </c>
      <c r="H171" s="143" t="s">
        <v>560</v>
      </c>
      <c r="I171" s="143" t="s">
        <v>561</v>
      </c>
    </row>
    <row r="172" spans="2:10" hidden="1" x14ac:dyDescent="0.35">
      <c r="B172" s="246" t="s">
        <v>607</v>
      </c>
      <c r="C172" s="143" t="s">
        <v>562</v>
      </c>
      <c r="E172" s="143" t="s">
        <v>563</v>
      </c>
      <c r="H172" s="143" t="s">
        <v>564</v>
      </c>
      <c r="I172" s="143" t="s">
        <v>565</v>
      </c>
    </row>
    <row r="173" spans="2:10" hidden="1" x14ac:dyDescent="0.35">
      <c r="B173" s="246" t="s">
        <v>608</v>
      </c>
      <c r="C173" s="143" t="s">
        <v>277</v>
      </c>
      <c r="E173" s="143" t="s">
        <v>566</v>
      </c>
      <c r="H173" s="143" t="s">
        <v>567</v>
      </c>
      <c r="I173" s="143" t="s">
        <v>568</v>
      </c>
    </row>
    <row r="174" spans="2:10" hidden="1" x14ac:dyDescent="0.35">
      <c r="B174" s="246" t="s">
        <v>609</v>
      </c>
      <c r="E174" s="143" t="s">
        <v>569</v>
      </c>
      <c r="H174" s="143" t="s">
        <v>570</v>
      </c>
      <c r="I174" s="143" t="s">
        <v>571</v>
      </c>
    </row>
    <row r="175" spans="2:10" hidden="1" x14ac:dyDescent="0.35">
      <c r="B175" s="246" t="s">
        <v>610</v>
      </c>
      <c r="E175" s="143" t="s">
        <v>572</v>
      </c>
      <c r="H175" s="143" t="s">
        <v>573</v>
      </c>
      <c r="I175" s="143" t="s">
        <v>574</v>
      </c>
    </row>
    <row r="176" spans="2:10" hidden="1" x14ac:dyDescent="0.35">
      <c r="B176" s="246" t="s">
        <v>611</v>
      </c>
      <c r="E176" s="143" t="s">
        <v>575</v>
      </c>
      <c r="H176" s="143" t="s">
        <v>576</v>
      </c>
      <c r="I176" s="143" t="s">
        <v>577</v>
      </c>
    </row>
    <row r="177" spans="2:9" hidden="1" x14ac:dyDescent="0.35">
      <c r="B177" s="246" t="s">
        <v>612</v>
      </c>
      <c r="H177" s="143" t="s">
        <v>578</v>
      </c>
      <c r="I177" s="143" t="s">
        <v>579</v>
      </c>
    </row>
    <row r="178" spans="2:9" hidden="1" x14ac:dyDescent="0.35">
      <c r="B178" s="246" t="s">
        <v>613</v>
      </c>
      <c r="H178" s="143" t="s">
        <v>580</v>
      </c>
    </row>
    <row r="179" spans="2:9" hidden="1" x14ac:dyDescent="0.35">
      <c r="B179" s="246" t="s">
        <v>614</v>
      </c>
      <c r="H179" s="143" t="s">
        <v>581</v>
      </c>
    </row>
    <row r="180" spans="2:9" hidden="1" x14ac:dyDescent="0.35">
      <c r="B180" s="246" t="s">
        <v>615</v>
      </c>
      <c r="H180" s="143" t="s">
        <v>582</v>
      </c>
    </row>
    <row r="181" spans="2:9" hidden="1" x14ac:dyDescent="0.35">
      <c r="B181" s="246" t="s">
        <v>616</v>
      </c>
      <c r="H181" s="143" t="s">
        <v>583</v>
      </c>
    </row>
    <row r="182" spans="2:9" hidden="1" x14ac:dyDescent="0.35">
      <c r="B182" s="246" t="s">
        <v>617</v>
      </c>
      <c r="D182" t="s">
        <v>584</v>
      </c>
      <c r="H182" s="143" t="s">
        <v>585</v>
      </c>
    </row>
    <row r="183" spans="2:9" hidden="1" x14ac:dyDescent="0.35">
      <c r="B183" s="246" t="s">
        <v>618</v>
      </c>
      <c r="D183" t="s">
        <v>586</v>
      </c>
      <c r="H183" s="143" t="s">
        <v>587</v>
      </c>
    </row>
    <row r="184" spans="2:9" hidden="1" x14ac:dyDescent="0.35">
      <c r="B184" s="246" t="s">
        <v>619</v>
      </c>
      <c r="D184" t="s">
        <v>588</v>
      </c>
      <c r="H184" s="143" t="s">
        <v>589</v>
      </c>
    </row>
    <row r="185" spans="2:9" hidden="1" x14ac:dyDescent="0.35">
      <c r="B185" s="246" t="s">
        <v>620</v>
      </c>
      <c r="D185" t="s">
        <v>586</v>
      </c>
      <c r="H185" s="143" t="s">
        <v>590</v>
      </c>
    </row>
    <row r="186" spans="2:9" hidden="1" x14ac:dyDescent="0.35">
      <c r="B186" s="246" t="s">
        <v>621</v>
      </c>
      <c r="D186" t="s">
        <v>591</v>
      </c>
    </row>
    <row r="187" spans="2:9" hidden="1" x14ac:dyDescent="0.35">
      <c r="B187" s="246" t="s">
        <v>622</v>
      </c>
      <c r="D187" t="s">
        <v>586</v>
      </c>
    </row>
    <row r="188" spans="2:9" hidden="1" x14ac:dyDescent="0.35">
      <c r="B188" s="246" t="s">
        <v>623</v>
      </c>
    </row>
    <row r="189" spans="2:9" hidden="1" x14ac:dyDescent="0.35">
      <c r="B189" s="246" t="s">
        <v>624</v>
      </c>
    </row>
    <row r="190" spans="2:9" hidden="1" x14ac:dyDescent="0.35">
      <c r="B190" s="246" t="s">
        <v>625</v>
      </c>
    </row>
    <row r="191" spans="2:9" hidden="1" x14ac:dyDescent="0.35">
      <c r="B191" s="246" t="s">
        <v>626</v>
      </c>
    </row>
    <row r="192" spans="2:9" hidden="1" x14ac:dyDescent="0.35">
      <c r="B192" s="246" t="s">
        <v>627</v>
      </c>
    </row>
    <row r="193" spans="2:2" hidden="1" x14ac:dyDescent="0.35">
      <c r="B193" s="246" t="s">
        <v>628</v>
      </c>
    </row>
    <row r="194" spans="2:2" hidden="1" x14ac:dyDescent="0.35">
      <c r="B194" s="246" t="s">
        <v>629</v>
      </c>
    </row>
    <row r="195" spans="2:2" hidden="1" x14ac:dyDescent="0.35">
      <c r="B195" s="246" t="s">
        <v>630</v>
      </c>
    </row>
    <row r="196" spans="2:2" hidden="1" x14ac:dyDescent="0.35">
      <c r="B196" s="246" t="s">
        <v>631</v>
      </c>
    </row>
    <row r="197" spans="2:2" hidden="1" x14ac:dyDescent="0.35">
      <c r="B197" s="246" t="s">
        <v>51</v>
      </c>
    </row>
    <row r="198" spans="2:2" hidden="1" x14ac:dyDescent="0.35">
      <c r="B198" s="246" t="s">
        <v>57</v>
      </c>
    </row>
    <row r="199" spans="2:2" hidden="1" x14ac:dyDescent="0.35">
      <c r="B199" s="246" t="s">
        <v>59</v>
      </c>
    </row>
    <row r="200" spans="2:2" hidden="1" x14ac:dyDescent="0.35">
      <c r="B200" s="246" t="s">
        <v>61</v>
      </c>
    </row>
    <row r="201" spans="2:2" hidden="1" x14ac:dyDescent="0.35">
      <c r="B201" s="246" t="s">
        <v>23</v>
      </c>
    </row>
    <row r="202" spans="2:2" hidden="1" x14ac:dyDescent="0.35">
      <c r="B202" s="246" t="s">
        <v>63</v>
      </c>
    </row>
    <row r="203" spans="2:2" hidden="1" x14ac:dyDescent="0.35">
      <c r="B203" s="246" t="s">
        <v>65</v>
      </c>
    </row>
    <row r="204" spans="2:2" hidden="1" x14ac:dyDescent="0.35">
      <c r="B204" s="246" t="s">
        <v>68</v>
      </c>
    </row>
    <row r="205" spans="2:2" hidden="1" x14ac:dyDescent="0.35">
      <c r="B205" s="246" t="s">
        <v>69</v>
      </c>
    </row>
    <row r="206" spans="2:2" hidden="1" x14ac:dyDescent="0.35">
      <c r="B206" s="246" t="s">
        <v>70</v>
      </c>
    </row>
    <row r="207" spans="2:2" hidden="1" x14ac:dyDescent="0.35">
      <c r="B207" s="246" t="s">
        <v>71</v>
      </c>
    </row>
    <row r="208" spans="2:2" hidden="1" x14ac:dyDescent="0.35">
      <c r="B208" s="246" t="s">
        <v>632</v>
      </c>
    </row>
    <row r="209" spans="2:2" hidden="1" x14ac:dyDescent="0.35">
      <c r="B209" s="246" t="s">
        <v>633</v>
      </c>
    </row>
    <row r="210" spans="2:2" hidden="1" x14ac:dyDescent="0.35">
      <c r="B210" s="246" t="s">
        <v>75</v>
      </c>
    </row>
    <row r="211" spans="2:2" hidden="1" x14ac:dyDescent="0.35">
      <c r="B211" s="246" t="s">
        <v>77</v>
      </c>
    </row>
    <row r="212" spans="2:2" hidden="1" x14ac:dyDescent="0.35">
      <c r="B212" s="246" t="s">
        <v>81</v>
      </c>
    </row>
    <row r="213" spans="2:2" hidden="1" x14ac:dyDescent="0.35">
      <c r="B213" s="246" t="s">
        <v>634</v>
      </c>
    </row>
    <row r="214" spans="2:2" hidden="1" x14ac:dyDescent="0.35">
      <c r="B214" s="246" t="s">
        <v>635</v>
      </c>
    </row>
    <row r="215" spans="2:2" hidden="1" x14ac:dyDescent="0.35">
      <c r="B215" s="246" t="s">
        <v>636</v>
      </c>
    </row>
    <row r="216" spans="2:2" hidden="1" x14ac:dyDescent="0.35">
      <c r="B216" s="246" t="s">
        <v>79</v>
      </c>
    </row>
    <row r="217" spans="2:2" hidden="1" x14ac:dyDescent="0.35">
      <c r="B217" s="246" t="s">
        <v>80</v>
      </c>
    </row>
    <row r="218" spans="2:2" hidden="1" x14ac:dyDescent="0.35">
      <c r="B218" s="246" t="s">
        <v>83</v>
      </c>
    </row>
    <row r="219" spans="2:2" hidden="1" x14ac:dyDescent="0.35">
      <c r="B219" s="246" t="s">
        <v>85</v>
      </c>
    </row>
    <row r="220" spans="2:2" hidden="1" x14ac:dyDescent="0.35">
      <c r="B220" s="246" t="s">
        <v>637</v>
      </c>
    </row>
    <row r="221" spans="2:2" hidden="1" x14ac:dyDescent="0.35">
      <c r="B221" s="246" t="s">
        <v>84</v>
      </c>
    </row>
    <row r="222" spans="2:2" hidden="1" x14ac:dyDescent="0.35">
      <c r="B222" s="246" t="s">
        <v>86</v>
      </c>
    </row>
    <row r="223" spans="2:2" hidden="1" x14ac:dyDescent="0.35">
      <c r="B223" s="246" t="s">
        <v>89</v>
      </c>
    </row>
    <row r="224" spans="2:2" hidden="1" x14ac:dyDescent="0.35">
      <c r="B224" s="246" t="s">
        <v>88</v>
      </c>
    </row>
    <row r="225" spans="2:2" hidden="1" x14ac:dyDescent="0.35">
      <c r="B225" s="246" t="s">
        <v>638</v>
      </c>
    </row>
    <row r="226" spans="2:2" hidden="1" x14ac:dyDescent="0.35">
      <c r="B226" s="246" t="s">
        <v>95</v>
      </c>
    </row>
    <row r="227" spans="2:2" hidden="1" x14ac:dyDescent="0.35">
      <c r="B227" s="246" t="s">
        <v>97</v>
      </c>
    </row>
    <row r="228" spans="2:2" hidden="1" x14ac:dyDescent="0.35">
      <c r="B228" s="246" t="s">
        <v>98</v>
      </c>
    </row>
    <row r="229" spans="2:2" hidden="1" x14ac:dyDescent="0.35">
      <c r="B229" s="246" t="s">
        <v>99</v>
      </c>
    </row>
    <row r="230" spans="2:2" hidden="1" x14ac:dyDescent="0.35">
      <c r="B230" s="246" t="s">
        <v>639</v>
      </c>
    </row>
    <row r="231" spans="2:2" hidden="1" x14ac:dyDescent="0.35">
      <c r="B231" s="246" t="s">
        <v>640</v>
      </c>
    </row>
    <row r="232" spans="2:2" hidden="1" x14ac:dyDescent="0.35">
      <c r="B232" s="246" t="s">
        <v>100</v>
      </c>
    </row>
    <row r="233" spans="2:2" hidden="1" x14ac:dyDescent="0.35">
      <c r="B233" s="246" t="s">
        <v>154</v>
      </c>
    </row>
    <row r="234" spans="2:2" hidden="1" x14ac:dyDescent="0.35">
      <c r="B234" s="246" t="s">
        <v>641</v>
      </c>
    </row>
    <row r="235" spans="2:2" ht="29" hidden="1" x14ac:dyDescent="0.35">
      <c r="B235" s="246" t="s">
        <v>642</v>
      </c>
    </row>
    <row r="236" spans="2:2" hidden="1" x14ac:dyDescent="0.35">
      <c r="B236" s="246" t="s">
        <v>105</v>
      </c>
    </row>
    <row r="237" spans="2:2" hidden="1" x14ac:dyDescent="0.35">
      <c r="B237" s="246" t="s">
        <v>107</v>
      </c>
    </row>
    <row r="238" spans="2:2" hidden="1" x14ac:dyDescent="0.35">
      <c r="B238" s="246" t="s">
        <v>643</v>
      </c>
    </row>
    <row r="239" spans="2:2" hidden="1" x14ac:dyDescent="0.35">
      <c r="B239" s="246" t="s">
        <v>155</v>
      </c>
    </row>
    <row r="240" spans="2:2" hidden="1" x14ac:dyDescent="0.35">
      <c r="B240" s="246" t="s">
        <v>172</v>
      </c>
    </row>
    <row r="241" spans="2:2" hidden="1" x14ac:dyDescent="0.35">
      <c r="B241" s="246" t="s">
        <v>106</v>
      </c>
    </row>
    <row r="242" spans="2:2" hidden="1" x14ac:dyDescent="0.35">
      <c r="B242" s="246" t="s">
        <v>110</v>
      </c>
    </row>
    <row r="243" spans="2:2" hidden="1" x14ac:dyDescent="0.35">
      <c r="B243" s="246" t="s">
        <v>104</v>
      </c>
    </row>
    <row r="244" spans="2:2" hidden="1" x14ac:dyDescent="0.35">
      <c r="B244" s="246" t="s">
        <v>126</v>
      </c>
    </row>
    <row r="245" spans="2:2" hidden="1" x14ac:dyDescent="0.35">
      <c r="B245" s="246" t="s">
        <v>644</v>
      </c>
    </row>
    <row r="246" spans="2:2" hidden="1" x14ac:dyDescent="0.35">
      <c r="B246" s="246" t="s">
        <v>112</v>
      </c>
    </row>
    <row r="247" spans="2:2" hidden="1" x14ac:dyDescent="0.35">
      <c r="B247" s="246" t="s">
        <v>115</v>
      </c>
    </row>
    <row r="248" spans="2:2" hidden="1" x14ac:dyDescent="0.35">
      <c r="B248" s="246" t="s">
        <v>121</v>
      </c>
    </row>
    <row r="249" spans="2:2" hidden="1" x14ac:dyDescent="0.35">
      <c r="B249" s="246" t="s">
        <v>118</v>
      </c>
    </row>
    <row r="250" spans="2:2" ht="29" hidden="1" x14ac:dyDescent="0.35">
      <c r="B250" s="246" t="s">
        <v>645</v>
      </c>
    </row>
    <row r="251" spans="2:2" hidden="1" x14ac:dyDescent="0.35">
      <c r="B251" s="246" t="s">
        <v>116</v>
      </c>
    </row>
    <row r="252" spans="2:2" hidden="1" x14ac:dyDescent="0.35">
      <c r="B252" s="246" t="s">
        <v>117</v>
      </c>
    </row>
    <row r="253" spans="2:2" hidden="1" x14ac:dyDescent="0.35">
      <c r="B253" s="246" t="s">
        <v>128</v>
      </c>
    </row>
    <row r="254" spans="2:2" hidden="1" x14ac:dyDescent="0.35">
      <c r="B254" s="246" t="s">
        <v>125</v>
      </c>
    </row>
    <row r="255" spans="2:2" hidden="1" x14ac:dyDescent="0.35">
      <c r="B255" s="246" t="s">
        <v>124</v>
      </c>
    </row>
    <row r="256" spans="2:2" hidden="1" x14ac:dyDescent="0.35">
      <c r="B256" s="246" t="s">
        <v>127</v>
      </c>
    </row>
    <row r="257" spans="2:2" hidden="1" x14ac:dyDescent="0.35">
      <c r="B257" s="246" t="s">
        <v>119</v>
      </c>
    </row>
    <row r="258" spans="2:2" hidden="1" x14ac:dyDescent="0.35">
      <c r="B258" s="246" t="s">
        <v>120</v>
      </c>
    </row>
    <row r="259" spans="2:2" hidden="1" x14ac:dyDescent="0.35">
      <c r="B259" s="246" t="s">
        <v>113</v>
      </c>
    </row>
    <row r="260" spans="2:2" hidden="1" x14ac:dyDescent="0.35">
      <c r="B260" s="246" t="s">
        <v>114</v>
      </c>
    </row>
    <row r="261" spans="2:2" hidden="1" x14ac:dyDescent="0.35">
      <c r="B261" s="246" t="s">
        <v>129</v>
      </c>
    </row>
    <row r="262" spans="2:2" hidden="1" x14ac:dyDescent="0.35">
      <c r="B262" s="246" t="s">
        <v>135</v>
      </c>
    </row>
    <row r="263" spans="2:2" hidden="1" x14ac:dyDescent="0.35">
      <c r="B263" s="246" t="s">
        <v>136</v>
      </c>
    </row>
    <row r="264" spans="2:2" hidden="1" x14ac:dyDescent="0.35">
      <c r="B264" s="246" t="s">
        <v>134</v>
      </c>
    </row>
    <row r="265" spans="2:2" hidden="1" x14ac:dyDescent="0.35">
      <c r="B265" s="246" t="s">
        <v>646</v>
      </c>
    </row>
    <row r="266" spans="2:2" hidden="1" x14ac:dyDescent="0.35">
      <c r="B266" s="246" t="s">
        <v>131</v>
      </c>
    </row>
    <row r="267" spans="2:2" hidden="1" x14ac:dyDescent="0.35">
      <c r="B267" s="246" t="s">
        <v>130</v>
      </c>
    </row>
    <row r="268" spans="2:2" hidden="1" x14ac:dyDescent="0.35">
      <c r="B268" s="246" t="s">
        <v>138</v>
      </c>
    </row>
    <row r="269" spans="2:2" hidden="1" x14ac:dyDescent="0.35">
      <c r="B269" s="246" t="s">
        <v>139</v>
      </c>
    </row>
    <row r="270" spans="2:2" hidden="1" x14ac:dyDescent="0.35">
      <c r="B270" s="246" t="s">
        <v>141</v>
      </c>
    </row>
    <row r="271" spans="2:2" hidden="1" x14ac:dyDescent="0.35">
      <c r="B271" s="246" t="s">
        <v>144</v>
      </c>
    </row>
    <row r="272" spans="2:2" hidden="1" x14ac:dyDescent="0.35">
      <c r="B272" s="246" t="s">
        <v>145</v>
      </c>
    </row>
    <row r="273" spans="2:2" hidden="1" x14ac:dyDescent="0.35">
      <c r="B273" s="246" t="s">
        <v>140</v>
      </c>
    </row>
    <row r="274" spans="2:2" hidden="1" x14ac:dyDescent="0.35">
      <c r="B274" s="246" t="s">
        <v>142</v>
      </c>
    </row>
    <row r="275" spans="2:2" hidden="1" x14ac:dyDescent="0.35">
      <c r="B275" s="246" t="s">
        <v>146</v>
      </c>
    </row>
    <row r="276" spans="2:2" hidden="1" x14ac:dyDescent="0.35">
      <c r="B276" s="246" t="s">
        <v>647</v>
      </c>
    </row>
    <row r="277" spans="2:2" hidden="1" x14ac:dyDescent="0.35">
      <c r="B277" s="246" t="s">
        <v>143</v>
      </c>
    </row>
    <row r="278" spans="2:2" hidden="1" x14ac:dyDescent="0.35">
      <c r="B278" s="246" t="s">
        <v>151</v>
      </c>
    </row>
    <row r="279" spans="2:2" hidden="1" x14ac:dyDescent="0.35">
      <c r="B279" s="246" t="s">
        <v>152</v>
      </c>
    </row>
    <row r="280" spans="2:2" hidden="1" x14ac:dyDescent="0.35">
      <c r="B280" s="246" t="s">
        <v>153</v>
      </c>
    </row>
    <row r="281" spans="2:2" hidden="1" x14ac:dyDescent="0.35">
      <c r="B281" s="246" t="s">
        <v>160</v>
      </c>
    </row>
    <row r="282" spans="2:2" hidden="1" x14ac:dyDescent="0.35">
      <c r="B282" s="246" t="s">
        <v>173</v>
      </c>
    </row>
    <row r="283" spans="2:2" hidden="1" x14ac:dyDescent="0.35">
      <c r="B283" s="246" t="s">
        <v>161</v>
      </c>
    </row>
    <row r="284" spans="2:2" hidden="1" x14ac:dyDescent="0.35">
      <c r="B284" s="246" t="s">
        <v>168</v>
      </c>
    </row>
    <row r="285" spans="2:2" hidden="1" x14ac:dyDescent="0.35">
      <c r="B285" s="246" t="s">
        <v>164</v>
      </c>
    </row>
    <row r="286" spans="2:2" hidden="1" x14ac:dyDescent="0.35">
      <c r="B286" s="246" t="s">
        <v>66</v>
      </c>
    </row>
    <row r="287" spans="2:2" hidden="1" x14ac:dyDescent="0.35">
      <c r="B287" s="246" t="s">
        <v>158</v>
      </c>
    </row>
    <row r="288" spans="2:2" hidden="1" x14ac:dyDescent="0.35">
      <c r="B288" s="246" t="s">
        <v>162</v>
      </c>
    </row>
    <row r="289" spans="2:2" hidden="1" x14ac:dyDescent="0.35">
      <c r="B289" s="246" t="s">
        <v>159</v>
      </c>
    </row>
    <row r="290" spans="2:2" hidden="1" x14ac:dyDescent="0.35">
      <c r="B290" s="246" t="s">
        <v>174</v>
      </c>
    </row>
    <row r="291" spans="2:2" hidden="1" x14ac:dyDescent="0.35">
      <c r="B291" s="246" t="s">
        <v>648</v>
      </c>
    </row>
    <row r="292" spans="2:2" hidden="1" x14ac:dyDescent="0.35">
      <c r="B292" s="246" t="s">
        <v>167</v>
      </c>
    </row>
    <row r="293" spans="2:2" hidden="1" x14ac:dyDescent="0.35">
      <c r="B293" s="246" t="s">
        <v>175</v>
      </c>
    </row>
    <row r="294" spans="2:2" hidden="1" x14ac:dyDescent="0.35">
      <c r="B294" s="246" t="s">
        <v>163</v>
      </c>
    </row>
    <row r="295" spans="2:2" hidden="1" x14ac:dyDescent="0.35">
      <c r="B295" s="246" t="s">
        <v>178</v>
      </c>
    </row>
    <row r="296" spans="2:2" hidden="1" x14ac:dyDescent="0.35">
      <c r="B296" s="246" t="s">
        <v>649</v>
      </c>
    </row>
    <row r="297" spans="2:2" hidden="1" x14ac:dyDescent="0.35">
      <c r="B297" s="246" t="s">
        <v>183</v>
      </c>
    </row>
    <row r="298" spans="2:2" hidden="1" x14ac:dyDescent="0.35">
      <c r="B298" s="246" t="s">
        <v>180</v>
      </c>
    </row>
    <row r="299" spans="2:2" hidden="1" x14ac:dyDescent="0.35">
      <c r="B299" s="246" t="s">
        <v>179</v>
      </c>
    </row>
    <row r="300" spans="2:2" hidden="1" x14ac:dyDescent="0.35">
      <c r="B300" s="246" t="s">
        <v>188</v>
      </c>
    </row>
    <row r="301" spans="2:2" hidden="1" x14ac:dyDescent="0.35">
      <c r="B301" s="246" t="s">
        <v>184</v>
      </c>
    </row>
    <row r="302" spans="2:2" hidden="1" x14ac:dyDescent="0.35">
      <c r="B302" s="246" t="s">
        <v>185</v>
      </c>
    </row>
    <row r="303" spans="2:2" hidden="1" x14ac:dyDescent="0.35">
      <c r="B303" s="246" t="s">
        <v>186</v>
      </c>
    </row>
    <row r="304" spans="2:2" hidden="1" x14ac:dyDescent="0.35">
      <c r="B304" s="246" t="s">
        <v>187</v>
      </c>
    </row>
    <row r="305" spans="2:2" hidden="1" x14ac:dyDescent="0.35">
      <c r="B305" s="246" t="s">
        <v>189</v>
      </c>
    </row>
    <row r="306" spans="2:2" hidden="1" x14ac:dyDescent="0.35">
      <c r="B306" s="246" t="s">
        <v>650</v>
      </c>
    </row>
    <row r="307" spans="2:2" hidden="1" x14ac:dyDescent="0.35">
      <c r="B307" s="246" t="s">
        <v>190</v>
      </c>
    </row>
    <row r="308" spans="2:2" hidden="1" x14ac:dyDescent="0.35">
      <c r="B308" s="246" t="s">
        <v>191</v>
      </c>
    </row>
    <row r="309" spans="2:2" hidden="1" x14ac:dyDescent="0.35">
      <c r="B309" s="246" t="s">
        <v>196</v>
      </c>
    </row>
    <row r="310" spans="2:2" hidden="1" x14ac:dyDescent="0.35">
      <c r="B310" s="246" t="s">
        <v>197</v>
      </c>
    </row>
    <row r="311" spans="2:2" ht="29" hidden="1" x14ac:dyDescent="0.35">
      <c r="B311" s="246" t="s">
        <v>156</v>
      </c>
    </row>
    <row r="312" spans="2:2" hidden="1" x14ac:dyDescent="0.35">
      <c r="B312" s="246" t="s">
        <v>651</v>
      </c>
    </row>
    <row r="313" spans="2:2" hidden="1" x14ac:dyDescent="0.35">
      <c r="B313" s="246" t="s">
        <v>652</v>
      </c>
    </row>
    <row r="314" spans="2:2" hidden="1" x14ac:dyDescent="0.35">
      <c r="B314" s="246" t="s">
        <v>198</v>
      </c>
    </row>
    <row r="315" spans="2:2" hidden="1" x14ac:dyDescent="0.35">
      <c r="B315" s="246" t="s">
        <v>157</v>
      </c>
    </row>
    <row r="316" spans="2:2" hidden="1" x14ac:dyDescent="0.35">
      <c r="B316" s="246" t="s">
        <v>653</v>
      </c>
    </row>
    <row r="317" spans="2:2" hidden="1" x14ac:dyDescent="0.35">
      <c r="B317" s="246" t="s">
        <v>170</v>
      </c>
    </row>
    <row r="318" spans="2:2" hidden="1" x14ac:dyDescent="0.35">
      <c r="B318" s="246" t="s">
        <v>202</v>
      </c>
    </row>
    <row r="319" spans="2:2" hidden="1" x14ac:dyDescent="0.35">
      <c r="B319" s="246" t="s">
        <v>203</v>
      </c>
    </row>
    <row r="320" spans="2:2" hidden="1" x14ac:dyDescent="0.35">
      <c r="B320" s="246" t="s">
        <v>182</v>
      </c>
    </row>
    <row r="321" hidden="1" x14ac:dyDescent="0.3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D00-000000000000}">
      <formula1>$H$164:$H$185</formula1>
    </dataValidation>
    <dataValidation type="list" allowBlank="1" showInputMessage="1" showErrorMessage="1" prompt="Select type of assets" sqref="E113 Q113 M113 I113" xr:uid="{00000000-0002-0000-0D00-000001000000}">
      <formula1>$L$140:$L$146</formula1>
    </dataValidation>
    <dataValidation type="whole" allowBlank="1" showInputMessage="1" showErrorMessage="1" error="Please enter a number here" prompt="Enter No. of development strategies" sqref="D129 H129 L129 P129" xr:uid="{00000000-0002-0000-0D00-000002000000}">
      <formula1>0</formula1>
      <formula2>999999999</formula2>
    </dataValidation>
    <dataValidation type="whole" allowBlank="1" showInputMessage="1" showErrorMessage="1" error="Please enter a number" prompt="Enter No. of policy introduced or adjusted" sqref="D127 H127 L127 P127" xr:uid="{00000000-0002-0000-0D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D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D00-000005000000}">
      <formula1>0</formula1>
      <formula2>999999999999</formula2>
    </dataValidation>
    <dataValidation type="whole" allowBlank="1" showInputMessage="1" showErrorMessage="1" prompt="Enter number of assets" sqref="D113 P113 L113 H113" xr:uid="{00000000-0002-0000-0D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D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D00-000008000000}">
      <formula1>0</formula1>
    </dataValidation>
    <dataValidation type="whole" allowBlank="1" showInputMessage="1" showErrorMessage="1" error="Please enter a number here" prompt="Please enter a number" sqref="D78:D83 H78:H83 L78:L83 P78:P83" xr:uid="{00000000-0002-0000-0D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D00-00000A000000}">
      <formula1>0</formula1>
      <formula2>9999999999</formula2>
    </dataValidation>
    <dataValidation type="decimal" allowBlank="1" showInputMessage="1" showErrorMessage="1" errorTitle="Invalid data" error="Please enter a number" prompt="Enter total number of staff trained" sqref="D57" xr:uid="{00000000-0002-0000-0D00-00000B000000}">
      <formula1>0</formula1>
      <formula2>9999999999</formula2>
    </dataValidation>
    <dataValidation type="decimal" allowBlank="1" showInputMessage="1" showErrorMessage="1" errorTitle="Invalid data" error="Please enter a number" sqref="Q54 P57 L57 H57 M54" xr:uid="{00000000-0002-0000-0D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D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D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D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D00-000010000000}">
      <formula1>$K$139:$K$153</formula1>
    </dataValidation>
    <dataValidation type="list" allowBlank="1" showInputMessage="1" showErrorMessage="1" prompt="Please select the alternate source" sqref="G111 S111 S109 S107 S105 O109 O107 O105 K109 K107 K105 G109 G107 K111 G105 O111" xr:uid="{00000000-0002-0000-0D00-000011000000}">
      <formula1>$K$139:$K$153</formula1>
    </dataValidation>
    <dataValidation type="list" allowBlank="1" showInputMessage="1" showErrorMessage="1" prompt="Select % increase in income level" sqref="F111 R111 R109 R107 R105 N109 N107 N105 J109 J107 J105 F109 F107 J111 F105 N111" xr:uid="{00000000-0002-0000-0D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D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D00-000014000000}">
      <formula1>$C$160:$C$163</formula1>
    </dataValidation>
    <dataValidation type="list" allowBlank="1" showInputMessage="1" showErrorMessage="1" prompt="Select targeted asset" sqref="E71:E76 I71:I76 M71:M76 Q71:Q76" xr:uid="{00000000-0002-0000-0D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D00-000016000000}">
      <formula1>$D$163:$D$166</formula1>
    </dataValidation>
    <dataValidation type="list" allowBlank="1" showInputMessage="1" showErrorMessage="1" prompt="Select status" sqref="O38 S38 S36 S34 S32 S30 O36 O34 O32 O30 K36 K34 K32 K30 G38 G34 G32 G30 G36 K38" xr:uid="{00000000-0002-0000-0D00-000017000000}">
      <formula1>$E$163:$E$165</formula1>
    </dataValidation>
    <dataValidation type="list" allowBlank="1" showInputMessage="1" showErrorMessage="1" sqref="E142:E143" xr:uid="{00000000-0002-0000-0D00-000018000000}">
      <formula1>$D$16:$D$18</formula1>
    </dataValidation>
    <dataValidation type="list" allowBlank="1" showInputMessage="1" showErrorMessage="1" prompt="Select effectiveness" sqref="G129 S129 O129 K129" xr:uid="{00000000-0002-0000-0D00-000019000000}">
      <formula1>$K$155:$K$159</formula1>
    </dataValidation>
    <dataValidation type="list" allowBlank="1" showInputMessage="1" showErrorMessage="1" prompt="Select a sector" sqref="F63:G63 R63:S63 N63:O63 J63:K63" xr:uid="{00000000-0002-0000-0D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D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D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D00-00001D000000}">
      <formula1>0</formula1>
      <formula2>100</formula2>
    </dataValidation>
    <dataValidation type="list" allowBlank="1" showInputMessage="1" showErrorMessage="1" prompt="Select type of policy" sqref="S127 K127 O127" xr:uid="{00000000-0002-0000-0D00-00001E000000}">
      <formula1>policy</formula1>
    </dataValidation>
    <dataValidation type="list" allowBlank="1" showInputMessage="1" showErrorMessage="1" prompt="Select income source" sqref="Q115 Q119 Q121 Q117" xr:uid="{00000000-0002-0000-0D00-00001F000000}">
      <formula1>incomesource</formula1>
    </dataValidation>
    <dataValidation type="list" allowBlank="1" showInputMessage="1" showErrorMessage="1" prompt="Select the effectiveness of protection/rehabilitation" sqref="S98 S92 S95 S89" xr:uid="{00000000-0002-0000-0D00-000020000000}">
      <formula1>effectiveness</formula1>
    </dataValidation>
    <dataValidation type="list" allowBlank="1" showInputMessage="1" showErrorMessage="1" prompt="Select programme/sector" sqref="F87 R87 N87 J87" xr:uid="{00000000-0002-0000-0D00-000021000000}">
      <formula1>$J$146:$J$154</formula1>
    </dataValidation>
    <dataValidation type="list" allowBlank="1" showInputMessage="1" showErrorMessage="1" prompt="Select level of improvements" sqref="I87 M87 Q87" xr:uid="{00000000-0002-0000-0D00-000022000000}">
      <formula1>effectiveness</formula1>
    </dataValidation>
    <dataValidation type="list" allowBlank="1" showInputMessage="1" showErrorMessage="1" prompt="Select changes in asset" sqref="F71:G76 R71:S76 N71:O76 J71:K76" xr:uid="{00000000-0002-0000-0D00-000023000000}">
      <formula1>$I$155:$I$159</formula1>
    </dataValidation>
    <dataValidation type="list" allowBlank="1" showInputMessage="1" showErrorMessage="1" prompt="Select response level" sqref="F69 R69 N69 J69" xr:uid="{00000000-0002-0000-0D00-000024000000}">
      <formula1>$H$155:$H$159</formula1>
    </dataValidation>
    <dataValidation type="list" allowBlank="1" showInputMessage="1" showErrorMessage="1" prompt="Select geographical scale" sqref="E69 Q69 M69 I69" xr:uid="{00000000-0002-0000-0D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D00-000026000000}">
      <formula1>$J$146:$J$154</formula1>
    </dataValidation>
    <dataValidation type="list" allowBlank="1" showInputMessage="1" showErrorMessage="1" prompt="Select level of awarness" sqref="F65:G65 R65:S65 N65:O65 J65:K65" xr:uid="{00000000-0002-0000-0D00-000027000000}">
      <formula1>$G$155:$G$159</formula1>
    </dataValidation>
    <dataValidation type="list" allowBlank="1" showInputMessage="1" showErrorMessage="1" prompt="Select scale" sqref="G59 S59 K59 O59" xr:uid="{00000000-0002-0000-0D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D00-000029000000}">
      <formula1>$D$151:$D$153</formula1>
    </dataValidation>
    <dataValidation type="list" allowBlank="1" showInputMessage="1" showErrorMessage="1" prompt="Select capacity level" sqref="G54 S54 K54 O54" xr:uid="{00000000-0002-0000-0D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D00-00002B000000}">
      <formula1>$J$146:$J$154</formula1>
    </dataValidation>
    <dataValidation type="list" allowBlank="1" showInputMessage="1" showErrorMessage="1" sqref="I126 O112 K77 I77 G77 K126 M126 Q77 S77 E126 O126 F112 G126 S112 O77 M77 K112 S126 Q126" xr:uid="{00000000-0002-0000-0D00-00002C000000}">
      <formula1>group</formula1>
    </dataValidation>
    <dataValidation type="list" allowBlank="1" showInputMessage="1" showErrorMessage="1" sqref="B66" xr:uid="{00000000-0002-0000-0D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D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D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D00-000030000000}">
      <formula1>$D$135:$D$142</formula1>
    </dataValidation>
    <dataValidation type="list" allowBlank="1" showInputMessage="1" showErrorMessage="1" prompt="Select type" sqref="F57:G57 P59 L59 H59 D59 R57:S57 N57:O57 J57:K57" xr:uid="{00000000-0002-0000-0D00-000031000000}">
      <formula1>$D$147:$D$149</formula1>
    </dataValidation>
    <dataValidation type="list" allowBlank="1" showInputMessage="1" showErrorMessage="1" sqref="E78:F83 I78:J83 M78:N83 Q78:R83" xr:uid="{00000000-0002-0000-0D00-000032000000}">
      <formula1>type1</formula1>
    </dataValidation>
    <dataValidation type="list" allowBlank="1" showInputMessage="1" showErrorMessage="1" prompt="Select level of improvements" sqref="D87:E87 P87 L87 H87" xr:uid="{00000000-0002-0000-0D00-000033000000}">
      <formula1>$K$155:$K$159</formula1>
    </dataValidation>
    <dataValidation type="list" allowBlank="1" showInputMessage="1" showErrorMessage="1" prompt="Select type" sqref="G87 O87 S87 K87" xr:uid="{00000000-0002-0000-0D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D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D00-000036000000}">
      <formula1>$H$150:$H$154</formula1>
    </dataValidation>
    <dataValidation type="list" allowBlank="1" showInputMessage="1" showErrorMessage="1" prompt="Select adaptation strategy" sqref="G113 S113 O113 K113" xr:uid="{00000000-0002-0000-0D00-000037000000}">
      <formula1>$I$161:$I$177</formula1>
    </dataValidation>
    <dataValidation type="list" allowBlank="1" showInputMessage="1" showErrorMessage="1" prompt="Select integration level" sqref="D125:S125" xr:uid="{00000000-0002-0000-0D00-000038000000}">
      <formula1>$H$143:$H$147</formula1>
    </dataValidation>
    <dataValidation type="list" allowBlank="1" showInputMessage="1" showErrorMessage="1" prompt="Select state of enforcement" sqref="E129:F129 Q129:R129 M129:N129 I129:J129" xr:uid="{00000000-0002-0000-0D00-000039000000}">
      <formula1>$I$136:$I$140</formula1>
    </dataValidation>
    <dataValidation type="list" allowBlank="1" showInputMessage="1" showErrorMessage="1" error="Please select the from the drop-down list_x000a_" prompt="Please select from the drop-down list" sqref="C17" xr:uid="{00000000-0002-0000-0D00-00003A000000}">
      <formula1>$J$147:$J$154</formula1>
    </dataValidation>
    <dataValidation type="list" allowBlank="1" showInputMessage="1" showErrorMessage="1" error="Please select from the drop-down list" prompt="Please select from the drop-down list" sqref="C14" xr:uid="{00000000-0002-0000-0D00-00003B000000}">
      <formula1>$C$156:$C$158</formula1>
    </dataValidation>
    <dataValidation type="list" allowBlank="1" showInputMessage="1" showErrorMessage="1" error="Select from the drop-down list" prompt="Select from the drop-down list" sqref="C16" xr:uid="{00000000-0002-0000-0D00-00003C000000}">
      <formula1>$B$156:$B$159</formula1>
    </dataValidation>
    <dataValidation type="list" allowBlank="1" showInputMessage="1" showErrorMessage="1" error="Select from the drop-down list" prompt="Select from the drop-down list" sqref="C15" xr:uid="{00000000-0002-0000-0D00-00003D000000}">
      <formula1>$B$162:$B$320</formula1>
    </dataValidation>
    <dataValidation allowBlank="1" showInputMessage="1" showErrorMessage="1" prompt="Please enter your project ID" sqref="C12" xr:uid="{00000000-0002-0000-0D00-00003E000000}"/>
    <dataValidation allowBlank="1" showInputMessage="1" showErrorMessage="1" prompt="Enter the name of the Implementing Entity_x000a_" sqref="C13" xr:uid="{00000000-0002-0000-0D00-00003F000000}"/>
    <dataValidation type="list" allowBlank="1" showInputMessage="1" showErrorMessage="1" error="Select from the drop-down list._x000a_" prompt="Select overall effectiveness" sqref="G27:G28 K27:K28 O27:O28 S27:S28" xr:uid="{00000000-0002-0000-0D00-000040000000}">
      <formula1>$K$155:$K$159</formula1>
    </dataValidation>
  </dataValidations>
  <pageMargins left="0.7" right="0.7" top="0.75" bottom="0.75" header="0.3" footer="0.3"/>
  <pageSetup paperSize="8" scale="36" fitToHeight="0" orientation="landscape"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X321"/>
  <sheetViews>
    <sheetView showGridLines="0" zoomScale="70" zoomScaleNormal="70" workbookViewId="0">
      <pane xSplit="3" topLeftCell="D1" activePane="topRight" state="frozen"/>
      <selection pane="topRight" activeCell="E4" sqref="E4"/>
    </sheetView>
  </sheetViews>
  <sheetFormatPr defaultColWidth="9.1796875" defaultRowHeight="14.5" outlineLevelRow="1" x14ac:dyDescent="0.35"/>
  <cols>
    <col min="1" max="1" width="3" style="143" customWidth="1"/>
    <col min="2" max="2" width="31.453125" style="143" customWidth="1"/>
    <col min="3" max="3" width="30.1796875" style="313" customWidth="1"/>
    <col min="4" max="4" width="20.453125" style="237" customWidth="1"/>
    <col min="5" max="7" width="20.453125" style="143" customWidth="1"/>
    <col min="8" max="8" width="25.1796875" style="143" customWidth="1"/>
    <col min="9" max="11" width="20.453125" style="143" customWidth="1"/>
    <col min="12" max="15" width="21.81640625" style="143" customWidth="1"/>
    <col min="16" max="19" width="20.453125" style="143" customWidth="1"/>
    <col min="20" max="20" width="27.54296875" style="143" customWidth="1"/>
    <col min="21" max="16384" width="9.1796875" style="143"/>
  </cols>
  <sheetData>
    <row r="1" spans="2:19" ht="15" thickBot="1" x14ac:dyDescent="0.4"/>
    <row r="2" spans="2:19" ht="26" x14ac:dyDescent="0.35">
      <c r="B2" s="90"/>
      <c r="C2" s="1378"/>
      <c r="D2" s="1378"/>
      <c r="E2" s="1378"/>
      <c r="F2" s="1378"/>
      <c r="G2" s="1378"/>
      <c r="H2" s="84"/>
      <c r="I2" s="84"/>
      <c r="J2" s="84"/>
      <c r="K2" s="84"/>
      <c r="L2" s="84"/>
      <c r="M2" s="84"/>
      <c r="N2" s="84"/>
      <c r="O2" s="84"/>
      <c r="P2" s="84"/>
      <c r="Q2" s="84"/>
      <c r="R2" s="84"/>
      <c r="S2" s="85"/>
    </row>
    <row r="3" spans="2:19" ht="26" x14ac:dyDescent="0.35">
      <c r="B3" s="91"/>
      <c r="C3" s="1384" t="s">
        <v>281</v>
      </c>
      <c r="D3" s="1385"/>
      <c r="E3" s="1385"/>
      <c r="F3" s="1385"/>
      <c r="G3" s="1386"/>
      <c r="H3" s="87"/>
      <c r="I3" s="87"/>
      <c r="J3" s="87"/>
      <c r="K3" s="87"/>
      <c r="L3" s="87"/>
      <c r="M3" s="87"/>
      <c r="N3" s="87"/>
      <c r="O3" s="87"/>
      <c r="P3" s="87"/>
      <c r="Q3" s="87"/>
      <c r="R3" s="87"/>
      <c r="S3" s="89"/>
    </row>
    <row r="4" spans="2:19" ht="26" x14ac:dyDescent="0.35">
      <c r="B4" s="91"/>
      <c r="C4" s="314"/>
      <c r="D4" s="322"/>
      <c r="E4" s="92"/>
      <c r="F4" s="92"/>
      <c r="G4" s="92"/>
      <c r="H4" s="87"/>
      <c r="I4" s="87"/>
      <c r="J4" s="87"/>
      <c r="K4" s="87"/>
      <c r="L4" s="87"/>
      <c r="M4" s="87"/>
      <c r="N4" s="87"/>
      <c r="O4" s="87"/>
      <c r="P4" s="87"/>
      <c r="Q4" s="87"/>
      <c r="R4" s="87"/>
      <c r="S4" s="89"/>
    </row>
    <row r="5" spans="2:19" ht="15" thickBot="1" x14ac:dyDescent="0.4">
      <c r="B5" s="86"/>
      <c r="C5" s="315"/>
      <c r="D5" s="323"/>
      <c r="E5" s="87"/>
      <c r="F5" s="87"/>
      <c r="G5" s="87"/>
      <c r="H5" s="87"/>
      <c r="I5" s="87"/>
      <c r="J5" s="87"/>
      <c r="K5" s="87"/>
      <c r="L5" s="87"/>
      <c r="M5" s="87"/>
      <c r="N5" s="87"/>
      <c r="O5" s="87"/>
      <c r="P5" s="87"/>
      <c r="Q5" s="87"/>
      <c r="R5" s="87"/>
      <c r="S5" s="89"/>
    </row>
    <row r="6" spans="2:19" ht="34.5" customHeight="1" thickBot="1" x14ac:dyDescent="0.4">
      <c r="B6" s="1379" t="s">
        <v>592</v>
      </c>
      <c r="C6" s="1380"/>
      <c r="D6" s="1380"/>
      <c r="E6" s="1380"/>
      <c r="F6" s="1380"/>
      <c r="G6" s="1380"/>
      <c r="H6" s="238"/>
      <c r="I6" s="238"/>
      <c r="J6" s="238"/>
      <c r="K6" s="238"/>
      <c r="L6" s="238"/>
      <c r="M6" s="238"/>
      <c r="N6" s="238"/>
      <c r="O6" s="238"/>
      <c r="P6" s="238"/>
      <c r="Q6" s="238"/>
      <c r="R6" s="238"/>
      <c r="S6" s="239"/>
    </row>
    <row r="7" spans="2:19" ht="15.75" customHeight="1" x14ac:dyDescent="0.35">
      <c r="B7" s="1379" t="s">
        <v>654</v>
      </c>
      <c r="C7" s="1381"/>
      <c r="D7" s="1381"/>
      <c r="E7" s="1381"/>
      <c r="F7" s="1381"/>
      <c r="G7" s="1381"/>
      <c r="H7" s="238"/>
      <c r="I7" s="238"/>
      <c r="J7" s="238"/>
      <c r="K7" s="238"/>
      <c r="L7" s="238"/>
      <c r="M7" s="238"/>
      <c r="N7" s="238"/>
      <c r="O7" s="238"/>
      <c r="P7" s="238"/>
      <c r="Q7" s="238"/>
      <c r="R7" s="238"/>
      <c r="S7" s="239"/>
    </row>
    <row r="8" spans="2:19" ht="15.75" customHeight="1" thickBot="1" x14ac:dyDescent="0.4">
      <c r="B8" s="1382" t="s">
        <v>236</v>
      </c>
      <c r="C8" s="1383"/>
      <c r="D8" s="1383"/>
      <c r="E8" s="1383"/>
      <c r="F8" s="1383"/>
      <c r="G8" s="1383"/>
      <c r="H8" s="240"/>
      <c r="I8" s="240"/>
      <c r="J8" s="240"/>
      <c r="K8" s="240"/>
      <c r="L8" s="240"/>
      <c r="M8" s="240"/>
      <c r="N8" s="240"/>
      <c r="O8" s="240"/>
      <c r="P8" s="240"/>
      <c r="Q8" s="240"/>
      <c r="R8" s="240"/>
      <c r="S8" s="241"/>
    </row>
    <row r="10" spans="2:19" ht="21" x14ac:dyDescent="0.5">
      <c r="B10" s="1466" t="s">
        <v>305</v>
      </c>
      <c r="C10" s="1466"/>
    </row>
    <row r="11" spans="2:19" ht="15" thickBot="1" x14ac:dyDescent="0.4"/>
    <row r="12" spans="2:19" ht="15" customHeight="1" thickBot="1" x14ac:dyDescent="0.4">
      <c r="B12" s="244" t="s">
        <v>306</v>
      </c>
      <c r="C12" s="316"/>
    </row>
    <row r="13" spans="2:19" ht="15.75" customHeight="1" thickBot="1" x14ac:dyDescent="0.4">
      <c r="B13" s="244" t="s">
        <v>273</v>
      </c>
      <c r="C13" s="316" t="s">
        <v>856</v>
      </c>
    </row>
    <row r="14" spans="2:19" ht="15.75" customHeight="1" thickBot="1" x14ac:dyDescent="0.4">
      <c r="B14" s="244" t="s">
        <v>655</v>
      </c>
      <c r="C14" s="316" t="s">
        <v>595</v>
      </c>
    </row>
    <row r="15" spans="2:19" ht="15.75" customHeight="1" thickBot="1" x14ac:dyDescent="0.4">
      <c r="B15" s="244" t="s">
        <v>307</v>
      </c>
      <c r="C15" s="316" t="s">
        <v>126</v>
      </c>
    </row>
    <row r="16" spans="2:19" ht="19.5" customHeight="1" thickBot="1" x14ac:dyDescent="0.4">
      <c r="B16" s="244" t="s">
        <v>308</v>
      </c>
      <c r="C16" s="316" t="s">
        <v>598</v>
      </c>
      <c r="E16" s="1476"/>
      <c r="F16" s="1476"/>
      <c r="G16" s="1476"/>
      <c r="H16" s="1476"/>
      <c r="I16" s="1476"/>
      <c r="J16" s="1476"/>
    </row>
    <row r="17" spans="2:24" ht="15" thickBot="1" x14ac:dyDescent="0.4">
      <c r="B17" s="244" t="s">
        <v>309</v>
      </c>
      <c r="C17" s="316" t="s">
        <v>430</v>
      </c>
      <c r="E17" s="1476"/>
      <c r="F17" s="1476"/>
      <c r="G17" s="1476"/>
      <c r="H17" s="1476"/>
      <c r="I17" s="1476"/>
      <c r="J17" s="1476"/>
    </row>
    <row r="18" spans="2:24" ht="15" thickBot="1" x14ac:dyDescent="0.4"/>
    <row r="19" spans="2:24" ht="15" thickBot="1" x14ac:dyDescent="0.4">
      <c r="D19" s="1406" t="s">
        <v>310</v>
      </c>
      <c r="E19" s="1407"/>
      <c r="F19" s="1407"/>
      <c r="G19" s="1408"/>
      <c r="H19" s="1406" t="s">
        <v>311</v>
      </c>
      <c r="I19" s="1407"/>
      <c r="J19" s="1407"/>
      <c r="K19" s="1408"/>
      <c r="L19" s="1470" t="s">
        <v>312</v>
      </c>
      <c r="M19" s="1471"/>
      <c r="N19" s="1471"/>
      <c r="O19" s="1472"/>
      <c r="P19" s="1407" t="s">
        <v>313</v>
      </c>
      <c r="Q19" s="1407"/>
      <c r="R19" s="1407"/>
      <c r="S19" s="1408"/>
    </row>
    <row r="20" spans="2:24" ht="45" customHeight="1" thickBot="1" x14ac:dyDescent="0.4">
      <c r="B20" s="1399" t="s">
        <v>314</v>
      </c>
      <c r="C20" s="1473" t="s">
        <v>827</v>
      </c>
      <c r="D20" s="324"/>
      <c r="E20" s="146" t="s">
        <v>316</v>
      </c>
      <c r="F20" s="147" t="s">
        <v>317</v>
      </c>
      <c r="G20" s="671" t="s">
        <v>318</v>
      </c>
      <c r="H20" s="685"/>
      <c r="I20" s="146" t="s">
        <v>316</v>
      </c>
      <c r="J20" s="147" t="s">
        <v>317</v>
      </c>
      <c r="K20" s="148" t="s">
        <v>318</v>
      </c>
      <c r="L20" s="685"/>
      <c r="M20" s="146" t="s">
        <v>316</v>
      </c>
      <c r="N20" s="147" t="s">
        <v>317</v>
      </c>
      <c r="O20" s="148" t="s">
        <v>318</v>
      </c>
      <c r="P20" s="678"/>
      <c r="Q20" s="146" t="s">
        <v>316</v>
      </c>
      <c r="R20" s="147" t="s">
        <v>317</v>
      </c>
      <c r="S20" s="148" t="s">
        <v>318</v>
      </c>
    </row>
    <row r="21" spans="2:24" ht="40.5" customHeight="1" x14ac:dyDescent="0.35">
      <c r="B21" s="1434"/>
      <c r="C21" s="1474"/>
      <c r="D21" s="325" t="s">
        <v>319</v>
      </c>
      <c r="E21" s="150">
        <v>0</v>
      </c>
      <c r="F21" s="151"/>
      <c r="G21" s="672"/>
      <c r="H21" s="686" t="s">
        <v>319</v>
      </c>
      <c r="I21" s="349">
        <v>40000</v>
      </c>
      <c r="J21" s="349"/>
      <c r="K21" s="156"/>
      <c r="L21" s="686" t="s">
        <v>319</v>
      </c>
      <c r="M21" s="349"/>
      <c r="N21" s="155"/>
      <c r="O21" s="156"/>
      <c r="P21" s="153" t="s">
        <v>319</v>
      </c>
      <c r="Q21" s="349"/>
      <c r="R21" s="155"/>
      <c r="S21" s="156"/>
    </row>
    <row r="22" spans="2:24" ht="39.75" customHeight="1" x14ac:dyDescent="0.35">
      <c r="B22" s="1434"/>
      <c r="C22" s="1474"/>
      <c r="D22" s="321" t="s">
        <v>320</v>
      </c>
      <c r="E22" s="700"/>
      <c r="F22" s="158"/>
      <c r="G22" s="673"/>
      <c r="H22" s="687" t="s">
        <v>320</v>
      </c>
      <c r="I22" s="161">
        <v>0.5</v>
      </c>
      <c r="J22" s="161"/>
      <c r="K22" s="162"/>
      <c r="L22" s="687" t="s">
        <v>320</v>
      </c>
      <c r="M22" s="161"/>
      <c r="N22" s="161"/>
      <c r="O22" s="162"/>
      <c r="P22" s="160" t="s">
        <v>320</v>
      </c>
      <c r="Q22" s="161"/>
      <c r="R22" s="161"/>
      <c r="S22" s="162"/>
    </row>
    <row r="23" spans="2:24" ht="37.5" customHeight="1" x14ac:dyDescent="0.35">
      <c r="B23" s="1400"/>
      <c r="C23" s="1475"/>
      <c r="D23" s="321" t="s">
        <v>321</v>
      </c>
      <c r="E23" s="158"/>
      <c r="F23" s="158"/>
      <c r="G23" s="673"/>
      <c r="H23" s="687" t="s">
        <v>321</v>
      </c>
      <c r="I23" s="161"/>
      <c r="J23" s="161"/>
      <c r="K23" s="162"/>
      <c r="L23" s="687" t="s">
        <v>321</v>
      </c>
      <c r="M23" s="161"/>
      <c r="N23" s="161"/>
      <c r="O23" s="162"/>
      <c r="P23" s="160" t="s">
        <v>321</v>
      </c>
      <c r="Q23" s="161"/>
      <c r="R23" s="161"/>
      <c r="S23" s="162"/>
    </row>
    <row r="24" spans="2:24" x14ac:dyDescent="0.35">
      <c r="B24" s="163"/>
      <c r="C24" s="317"/>
      <c r="D24" s="317"/>
      <c r="E24" s="317"/>
      <c r="F24" s="317"/>
      <c r="G24" s="317"/>
      <c r="H24" s="317"/>
      <c r="I24" s="317"/>
      <c r="J24" s="317"/>
      <c r="K24" s="317"/>
      <c r="L24" s="317"/>
      <c r="M24" s="317"/>
      <c r="N24" s="317"/>
      <c r="O24" s="317"/>
      <c r="P24" s="317"/>
      <c r="Q24" s="317"/>
      <c r="R24" s="317"/>
      <c r="S24" s="317"/>
      <c r="T24" s="317"/>
      <c r="U24" s="317"/>
      <c r="V24" s="317"/>
      <c r="W24" s="317"/>
      <c r="X24" s="317"/>
    </row>
    <row r="25" spans="2:24" ht="30" hidden="1" customHeight="1" thickBot="1" x14ac:dyDescent="0.4">
      <c r="B25" s="163"/>
      <c r="C25" s="317"/>
      <c r="D25" s="317"/>
      <c r="E25" s="317"/>
      <c r="F25" s="317"/>
      <c r="G25" s="317"/>
      <c r="H25" s="317"/>
      <c r="I25" s="317"/>
      <c r="J25" s="317"/>
      <c r="K25" s="317"/>
      <c r="L25" s="317"/>
      <c r="M25" s="317"/>
      <c r="N25" s="317"/>
      <c r="O25" s="317"/>
      <c r="P25" s="317"/>
      <c r="Q25" s="317"/>
      <c r="R25" s="317"/>
      <c r="S25" s="317"/>
      <c r="T25" s="317"/>
      <c r="U25" s="317"/>
      <c r="V25" s="317"/>
      <c r="W25" s="317"/>
      <c r="X25" s="317"/>
    </row>
    <row r="26" spans="2:24" ht="47.25" hidden="1" customHeight="1" x14ac:dyDescent="0.35">
      <c r="B26" s="1477" t="s">
        <v>826</v>
      </c>
      <c r="C26" s="651" t="s">
        <v>322</v>
      </c>
      <c r="D26" s="651" t="s">
        <v>322</v>
      </c>
      <c r="E26" s="651" t="s">
        <v>322</v>
      </c>
      <c r="F26" s="651" t="s">
        <v>322</v>
      </c>
      <c r="G26" s="651" t="s">
        <v>322</v>
      </c>
      <c r="H26" s="651" t="s">
        <v>322</v>
      </c>
      <c r="I26" s="651" t="s">
        <v>322</v>
      </c>
      <c r="J26" s="651" t="s">
        <v>322</v>
      </c>
      <c r="K26" s="651" t="s">
        <v>322</v>
      </c>
      <c r="L26" s="651" t="s">
        <v>322</v>
      </c>
      <c r="M26" s="651" t="s">
        <v>322</v>
      </c>
      <c r="N26" s="651" t="s">
        <v>322</v>
      </c>
      <c r="O26" s="651" t="s">
        <v>322</v>
      </c>
      <c r="P26" s="651" t="s">
        <v>322</v>
      </c>
      <c r="Q26" s="651" t="s">
        <v>322</v>
      </c>
      <c r="R26" s="651" t="s">
        <v>322</v>
      </c>
      <c r="S26" s="651" t="s">
        <v>322</v>
      </c>
      <c r="T26" s="651" t="s">
        <v>322</v>
      </c>
      <c r="U26" s="651" t="s">
        <v>322</v>
      </c>
      <c r="V26" s="651" t="s">
        <v>322</v>
      </c>
      <c r="W26" s="651" t="s">
        <v>322</v>
      </c>
      <c r="X26" s="651" t="s">
        <v>322</v>
      </c>
    </row>
    <row r="27" spans="2:24" ht="51" hidden="1" customHeight="1" x14ac:dyDescent="0.35">
      <c r="B27" s="1478"/>
      <c r="C27" s="652"/>
      <c r="D27" s="652"/>
      <c r="E27" s="652"/>
      <c r="F27" s="652"/>
      <c r="G27" s="652"/>
      <c r="H27" s="652"/>
      <c r="I27" s="652"/>
      <c r="J27" s="652"/>
      <c r="K27" s="652"/>
      <c r="L27" s="652"/>
      <c r="M27" s="652"/>
      <c r="N27" s="652"/>
      <c r="O27" s="652"/>
      <c r="P27" s="652"/>
      <c r="Q27" s="652"/>
      <c r="R27" s="652"/>
      <c r="S27" s="652"/>
      <c r="T27" s="652"/>
      <c r="U27" s="652"/>
      <c r="V27" s="652"/>
      <c r="W27" s="652"/>
      <c r="X27" s="652"/>
    </row>
    <row r="28" spans="2:24" ht="51" hidden="1" customHeight="1" x14ac:dyDescent="0.35">
      <c r="B28" s="1479"/>
      <c r="C28" s="653"/>
      <c r="D28" s="653"/>
      <c r="E28" s="653"/>
      <c r="F28" s="653"/>
      <c r="G28" s="653"/>
      <c r="H28" s="653"/>
      <c r="I28" s="653"/>
      <c r="J28" s="653"/>
      <c r="K28" s="653"/>
      <c r="L28" s="653"/>
      <c r="M28" s="653"/>
      <c r="N28" s="653"/>
      <c r="O28" s="653"/>
      <c r="P28" s="653"/>
      <c r="Q28" s="653"/>
      <c r="R28" s="653"/>
      <c r="S28" s="653"/>
      <c r="T28" s="653"/>
      <c r="U28" s="653"/>
      <c r="V28" s="653"/>
      <c r="W28" s="653"/>
      <c r="X28" s="653"/>
    </row>
    <row r="29" spans="2:24" ht="36.75" hidden="1" customHeight="1" x14ac:dyDescent="0.35">
      <c r="B29" s="1387" t="s">
        <v>327</v>
      </c>
      <c r="C29" s="654" t="s">
        <v>328</v>
      </c>
      <c r="D29" s="654" t="s">
        <v>328</v>
      </c>
      <c r="E29" s="654" t="s">
        <v>328</v>
      </c>
      <c r="F29" s="654" t="s">
        <v>328</v>
      </c>
      <c r="G29" s="654" t="s">
        <v>328</v>
      </c>
      <c r="H29" s="654" t="s">
        <v>328</v>
      </c>
      <c r="I29" s="654" t="s">
        <v>328</v>
      </c>
      <c r="J29" s="654" t="s">
        <v>328</v>
      </c>
      <c r="K29" s="654" t="s">
        <v>328</v>
      </c>
      <c r="L29" s="654" t="s">
        <v>328</v>
      </c>
      <c r="M29" s="654" t="s">
        <v>328</v>
      </c>
      <c r="N29" s="654" t="s">
        <v>328</v>
      </c>
      <c r="O29" s="654" t="s">
        <v>328</v>
      </c>
      <c r="P29" s="654" t="s">
        <v>328</v>
      </c>
      <c r="Q29" s="654" t="s">
        <v>328</v>
      </c>
      <c r="R29" s="654" t="s">
        <v>328</v>
      </c>
      <c r="S29" s="654" t="s">
        <v>328</v>
      </c>
      <c r="T29" s="654" t="s">
        <v>328</v>
      </c>
      <c r="U29" s="654" t="s">
        <v>328</v>
      </c>
      <c r="V29" s="654" t="s">
        <v>328</v>
      </c>
      <c r="W29" s="654" t="s">
        <v>328</v>
      </c>
      <c r="X29" s="654" t="s">
        <v>328</v>
      </c>
    </row>
    <row r="30" spans="2:24" ht="15" hidden="1" customHeight="1" x14ac:dyDescent="0.35">
      <c r="B30" s="1398"/>
      <c r="C30" s="655"/>
      <c r="D30" s="655"/>
      <c r="E30" s="655"/>
      <c r="F30" s="655"/>
      <c r="G30" s="655"/>
      <c r="H30" s="655"/>
      <c r="I30" s="655"/>
      <c r="J30" s="655"/>
      <c r="K30" s="655"/>
      <c r="L30" s="655"/>
      <c r="M30" s="655"/>
      <c r="N30" s="655"/>
      <c r="O30" s="655"/>
      <c r="P30" s="655"/>
      <c r="Q30" s="655"/>
      <c r="R30" s="655"/>
      <c r="S30" s="655"/>
      <c r="T30" s="655"/>
      <c r="U30" s="655"/>
      <c r="V30" s="655"/>
      <c r="W30" s="655"/>
      <c r="X30" s="655"/>
    </row>
    <row r="31" spans="2:24" ht="36.75" hidden="1" customHeight="1" outlineLevel="1" x14ac:dyDescent="0.35">
      <c r="B31" s="1398"/>
      <c r="C31" s="655"/>
      <c r="D31" s="655"/>
      <c r="E31" s="655"/>
      <c r="F31" s="655"/>
      <c r="G31" s="655"/>
      <c r="H31" s="655"/>
      <c r="I31" s="655"/>
      <c r="J31" s="655"/>
      <c r="K31" s="655"/>
      <c r="L31" s="655"/>
      <c r="M31" s="655"/>
      <c r="N31" s="655"/>
      <c r="O31" s="655"/>
      <c r="P31" s="655"/>
      <c r="Q31" s="655"/>
      <c r="R31" s="655"/>
      <c r="S31" s="655"/>
      <c r="T31" s="655"/>
      <c r="U31" s="655"/>
      <c r="V31" s="655"/>
      <c r="W31" s="655"/>
      <c r="X31" s="655"/>
    </row>
    <row r="32" spans="2:24" ht="30" hidden="1" customHeight="1" outlineLevel="1" x14ac:dyDescent="0.35">
      <c r="B32" s="1398"/>
      <c r="C32" s="655"/>
      <c r="D32" s="655"/>
      <c r="E32" s="655"/>
      <c r="F32" s="655"/>
      <c r="G32" s="655"/>
      <c r="H32" s="655"/>
      <c r="I32" s="655"/>
      <c r="J32" s="655"/>
      <c r="K32" s="655"/>
      <c r="L32" s="655"/>
      <c r="M32" s="655"/>
      <c r="N32" s="655"/>
      <c r="O32" s="655"/>
      <c r="P32" s="655"/>
      <c r="Q32" s="655"/>
      <c r="R32" s="655"/>
      <c r="S32" s="655"/>
      <c r="T32" s="655"/>
      <c r="U32" s="655"/>
      <c r="V32" s="655"/>
      <c r="W32" s="655"/>
      <c r="X32" s="655"/>
    </row>
    <row r="33" spans="2:24" ht="36" hidden="1" customHeight="1" outlineLevel="1" x14ac:dyDescent="0.35">
      <c r="B33" s="1398"/>
      <c r="C33" s="655"/>
      <c r="D33" s="655"/>
      <c r="E33" s="655"/>
      <c r="F33" s="655"/>
      <c r="G33" s="655"/>
      <c r="H33" s="655"/>
      <c r="I33" s="655"/>
      <c r="J33" s="655"/>
      <c r="K33" s="655"/>
      <c r="L33" s="655"/>
      <c r="M33" s="655"/>
      <c r="N33" s="655"/>
      <c r="O33" s="655"/>
      <c r="P33" s="655"/>
      <c r="Q33" s="655"/>
      <c r="R33" s="655"/>
      <c r="S33" s="655"/>
      <c r="T33" s="655"/>
      <c r="U33" s="655"/>
      <c r="V33" s="655"/>
      <c r="W33" s="655"/>
      <c r="X33" s="655"/>
    </row>
    <row r="34" spans="2:24" ht="30" hidden="1" customHeight="1" outlineLevel="1" x14ac:dyDescent="0.35">
      <c r="B34" s="1398"/>
      <c r="C34" s="655"/>
      <c r="D34" s="655"/>
      <c r="E34" s="655"/>
      <c r="F34" s="655"/>
      <c r="G34" s="655"/>
      <c r="H34" s="655"/>
      <c r="I34" s="655"/>
      <c r="J34" s="655"/>
      <c r="K34" s="655"/>
      <c r="L34" s="655"/>
      <c r="M34" s="655"/>
      <c r="N34" s="655"/>
      <c r="O34" s="655"/>
      <c r="P34" s="655"/>
      <c r="Q34" s="655"/>
      <c r="R34" s="655"/>
      <c r="S34" s="655"/>
      <c r="T34" s="655"/>
      <c r="U34" s="655"/>
      <c r="V34" s="655"/>
      <c r="W34" s="655"/>
      <c r="X34" s="655"/>
    </row>
    <row r="35" spans="2:24" ht="39" hidden="1" customHeight="1" outlineLevel="1" x14ac:dyDescent="0.35">
      <c r="B35" s="1398"/>
      <c r="C35" s="655"/>
      <c r="D35" s="655"/>
      <c r="E35" s="655"/>
      <c r="F35" s="655"/>
      <c r="G35" s="655"/>
      <c r="H35" s="655"/>
      <c r="I35" s="655"/>
      <c r="J35" s="655"/>
      <c r="K35" s="655"/>
      <c r="L35" s="655"/>
      <c r="M35" s="655"/>
      <c r="N35" s="655"/>
      <c r="O35" s="655"/>
      <c r="P35" s="655"/>
      <c r="Q35" s="655"/>
      <c r="R35" s="655"/>
      <c r="S35" s="655"/>
      <c r="T35" s="655"/>
      <c r="U35" s="655"/>
      <c r="V35" s="655"/>
      <c r="W35" s="655"/>
      <c r="X35" s="655"/>
    </row>
    <row r="36" spans="2:24" ht="30" hidden="1" customHeight="1" outlineLevel="1" x14ac:dyDescent="0.35">
      <c r="B36" s="1398"/>
      <c r="C36" s="655"/>
      <c r="D36" s="655"/>
      <c r="E36" s="655"/>
      <c r="F36" s="655"/>
      <c r="G36" s="655"/>
      <c r="H36" s="655"/>
      <c r="I36" s="655"/>
      <c r="J36" s="655"/>
      <c r="K36" s="655"/>
      <c r="L36" s="655"/>
      <c r="M36" s="655"/>
      <c r="N36" s="655"/>
      <c r="O36" s="655"/>
      <c r="P36" s="655"/>
      <c r="Q36" s="655"/>
      <c r="R36" s="655"/>
      <c r="S36" s="655"/>
      <c r="T36" s="655"/>
      <c r="U36" s="655"/>
      <c r="V36" s="655"/>
      <c r="W36" s="655"/>
      <c r="X36" s="655"/>
    </row>
    <row r="37" spans="2:24" ht="36.75" hidden="1" customHeight="1" outlineLevel="1" x14ac:dyDescent="0.35">
      <c r="B37" s="1398"/>
      <c r="C37" s="655"/>
      <c r="D37" s="655"/>
      <c r="E37" s="655"/>
      <c r="F37" s="655"/>
      <c r="G37" s="655"/>
      <c r="H37" s="655"/>
      <c r="I37" s="655"/>
      <c r="J37" s="655"/>
      <c r="K37" s="655"/>
      <c r="L37" s="655"/>
      <c r="M37" s="655"/>
      <c r="N37" s="655"/>
      <c r="O37" s="655"/>
      <c r="P37" s="655"/>
      <c r="Q37" s="655"/>
      <c r="R37" s="655"/>
      <c r="S37" s="655"/>
      <c r="T37" s="655"/>
      <c r="U37" s="655"/>
      <c r="V37" s="655"/>
      <c r="W37" s="655"/>
      <c r="X37" s="655"/>
    </row>
    <row r="38" spans="2:24" ht="30" hidden="1" customHeight="1" outlineLevel="1" x14ac:dyDescent="0.35">
      <c r="B38" s="1388"/>
      <c r="C38" s="656"/>
      <c r="D38" s="656"/>
      <c r="E38" s="656"/>
      <c r="F38" s="656"/>
      <c r="G38" s="656"/>
      <c r="H38" s="656"/>
      <c r="I38" s="656"/>
      <c r="J38" s="656"/>
      <c r="K38" s="656"/>
      <c r="L38" s="656"/>
      <c r="M38" s="656"/>
      <c r="N38" s="656"/>
      <c r="O38" s="656"/>
      <c r="P38" s="656"/>
      <c r="Q38" s="656"/>
      <c r="R38" s="656"/>
      <c r="S38" s="656"/>
      <c r="T38" s="656"/>
      <c r="U38" s="656"/>
      <c r="V38" s="656"/>
      <c r="W38" s="656"/>
      <c r="X38" s="656"/>
    </row>
    <row r="39" spans="2:24" ht="30" hidden="1" customHeight="1" x14ac:dyDescent="0.35">
      <c r="B39" s="1387" t="s">
        <v>332</v>
      </c>
      <c r="C39" s="657" t="s">
        <v>828</v>
      </c>
      <c r="D39" s="657" t="s">
        <v>828</v>
      </c>
      <c r="E39" s="657" t="s">
        <v>828</v>
      </c>
      <c r="F39" s="657" t="s">
        <v>828</v>
      </c>
      <c r="G39" s="657" t="s">
        <v>828</v>
      </c>
      <c r="H39" s="657" t="s">
        <v>828</v>
      </c>
      <c r="I39" s="657" t="s">
        <v>828</v>
      </c>
      <c r="J39" s="657" t="s">
        <v>828</v>
      </c>
      <c r="K39" s="657" t="s">
        <v>828</v>
      </c>
      <c r="L39" s="657" t="s">
        <v>828</v>
      </c>
      <c r="M39" s="657" t="s">
        <v>828</v>
      </c>
      <c r="N39" s="657" t="s">
        <v>828</v>
      </c>
      <c r="O39" s="657" t="s">
        <v>828</v>
      </c>
      <c r="P39" s="657" t="s">
        <v>828</v>
      </c>
      <c r="Q39" s="657" t="s">
        <v>828</v>
      </c>
      <c r="R39" s="657" t="s">
        <v>828</v>
      </c>
      <c r="S39" s="657" t="s">
        <v>828</v>
      </c>
      <c r="T39" s="657" t="s">
        <v>828</v>
      </c>
      <c r="U39" s="657" t="s">
        <v>828</v>
      </c>
      <c r="V39" s="657" t="s">
        <v>828</v>
      </c>
      <c r="W39" s="657" t="s">
        <v>828</v>
      </c>
      <c r="X39" s="657" t="s">
        <v>828</v>
      </c>
    </row>
    <row r="40" spans="2:24" ht="30" hidden="1" customHeight="1" x14ac:dyDescent="0.35">
      <c r="B40" s="1398"/>
      <c r="C40" s="658"/>
      <c r="D40" s="658"/>
      <c r="E40" s="658"/>
      <c r="F40" s="658"/>
      <c r="G40" s="658"/>
      <c r="H40" s="658"/>
      <c r="I40" s="658"/>
      <c r="J40" s="658"/>
      <c r="K40" s="658"/>
      <c r="L40" s="658"/>
      <c r="M40" s="658"/>
      <c r="N40" s="658"/>
      <c r="O40" s="658"/>
      <c r="P40" s="658"/>
      <c r="Q40" s="658"/>
      <c r="R40" s="658"/>
      <c r="S40" s="658"/>
      <c r="T40" s="658"/>
      <c r="U40" s="658"/>
      <c r="V40" s="658"/>
      <c r="W40" s="658"/>
      <c r="X40" s="658"/>
    </row>
    <row r="41" spans="2:24" ht="30" hidden="1" customHeight="1" x14ac:dyDescent="0.35">
      <c r="B41" s="1398"/>
      <c r="C41" s="658"/>
      <c r="D41" s="658"/>
      <c r="E41" s="658"/>
      <c r="F41" s="658"/>
      <c r="G41" s="658"/>
      <c r="H41" s="658"/>
      <c r="I41" s="658"/>
      <c r="J41" s="658"/>
      <c r="K41" s="658"/>
      <c r="L41" s="658"/>
      <c r="M41" s="658"/>
      <c r="N41" s="658"/>
      <c r="O41" s="658"/>
      <c r="P41" s="658"/>
      <c r="Q41" s="658"/>
      <c r="R41" s="658"/>
      <c r="S41" s="658"/>
      <c r="T41" s="658"/>
      <c r="U41" s="658"/>
      <c r="V41" s="658"/>
      <c r="W41" s="658"/>
      <c r="X41" s="658"/>
    </row>
    <row r="42" spans="2:24" ht="30" hidden="1" customHeight="1" outlineLevel="1" x14ac:dyDescent="0.35">
      <c r="B42" s="1398"/>
      <c r="C42" s="658"/>
      <c r="D42" s="658"/>
      <c r="E42" s="658"/>
      <c r="F42" s="658"/>
      <c r="G42" s="658"/>
      <c r="H42" s="658"/>
      <c r="I42" s="658"/>
      <c r="J42" s="658"/>
      <c r="K42" s="658"/>
      <c r="L42" s="658"/>
      <c r="M42" s="658"/>
      <c r="N42" s="658"/>
      <c r="O42" s="658"/>
      <c r="P42" s="658"/>
      <c r="Q42" s="658"/>
      <c r="R42" s="658"/>
      <c r="S42" s="658"/>
      <c r="T42" s="658"/>
      <c r="U42" s="658"/>
      <c r="V42" s="658"/>
      <c r="W42" s="658"/>
      <c r="X42" s="658"/>
    </row>
    <row r="43" spans="2:24" ht="30" hidden="1" customHeight="1" outlineLevel="1" x14ac:dyDescent="0.35">
      <c r="B43" s="1398"/>
      <c r="C43" s="658"/>
      <c r="D43" s="658"/>
      <c r="E43" s="658"/>
      <c r="F43" s="658"/>
      <c r="G43" s="658"/>
      <c r="H43" s="658"/>
      <c r="I43" s="658"/>
      <c r="J43" s="658"/>
      <c r="K43" s="658"/>
      <c r="L43" s="658"/>
      <c r="M43" s="658"/>
      <c r="N43" s="658"/>
      <c r="O43" s="658"/>
      <c r="P43" s="658"/>
      <c r="Q43" s="658"/>
      <c r="R43" s="658"/>
      <c r="S43" s="658"/>
      <c r="T43" s="658"/>
      <c r="U43" s="658"/>
      <c r="V43" s="658"/>
      <c r="W43" s="658"/>
      <c r="X43" s="658"/>
    </row>
    <row r="44" spans="2:24" ht="30" hidden="1" customHeight="1" outlineLevel="1" x14ac:dyDescent="0.35">
      <c r="B44" s="1398"/>
      <c r="C44" s="658"/>
      <c r="D44" s="658"/>
      <c r="E44" s="658"/>
      <c r="F44" s="658"/>
      <c r="G44" s="658"/>
      <c r="H44" s="658"/>
      <c r="I44" s="658"/>
      <c r="J44" s="658"/>
      <c r="K44" s="658"/>
      <c r="L44" s="658"/>
      <c r="M44" s="658"/>
      <c r="N44" s="658"/>
      <c r="O44" s="658"/>
      <c r="P44" s="658"/>
      <c r="Q44" s="658"/>
      <c r="R44" s="658"/>
      <c r="S44" s="658"/>
      <c r="T44" s="658"/>
      <c r="U44" s="658"/>
      <c r="V44" s="658"/>
      <c r="W44" s="658"/>
      <c r="X44" s="658"/>
    </row>
    <row r="45" spans="2:24" ht="30" hidden="1" customHeight="1" outlineLevel="1" x14ac:dyDescent="0.35">
      <c r="B45" s="1398"/>
      <c r="C45" s="658"/>
      <c r="D45" s="658"/>
      <c r="E45" s="658"/>
      <c r="F45" s="658"/>
      <c r="G45" s="658"/>
      <c r="H45" s="658"/>
      <c r="I45" s="658"/>
      <c r="J45" s="658"/>
      <c r="K45" s="658"/>
      <c r="L45" s="658"/>
      <c r="M45" s="658"/>
      <c r="N45" s="658"/>
      <c r="O45" s="658"/>
      <c r="P45" s="658"/>
      <c r="Q45" s="658"/>
      <c r="R45" s="658"/>
      <c r="S45" s="658"/>
      <c r="T45" s="658"/>
      <c r="U45" s="658"/>
      <c r="V45" s="658"/>
      <c r="W45" s="658"/>
      <c r="X45" s="658"/>
    </row>
    <row r="46" spans="2:24" ht="30" hidden="1" customHeight="1" outlineLevel="1" x14ac:dyDescent="0.35">
      <c r="B46" s="1398"/>
      <c r="C46" s="658"/>
      <c r="D46" s="658"/>
      <c r="E46" s="658"/>
      <c r="F46" s="658"/>
      <c r="G46" s="658"/>
      <c r="H46" s="658"/>
      <c r="I46" s="658"/>
      <c r="J46" s="658"/>
      <c r="K46" s="658"/>
      <c r="L46" s="658"/>
      <c r="M46" s="658"/>
      <c r="N46" s="658"/>
      <c r="O46" s="658"/>
      <c r="P46" s="658"/>
      <c r="Q46" s="658"/>
      <c r="R46" s="658"/>
      <c r="S46" s="658"/>
      <c r="T46" s="658"/>
      <c r="U46" s="658"/>
      <c r="V46" s="658"/>
      <c r="W46" s="658"/>
      <c r="X46" s="658"/>
    </row>
    <row r="47" spans="2:24" ht="30" hidden="1" customHeight="1" outlineLevel="1" x14ac:dyDescent="0.35">
      <c r="B47" s="1398"/>
      <c r="C47" s="658"/>
      <c r="D47" s="658"/>
      <c r="E47" s="658"/>
      <c r="F47" s="658"/>
      <c r="G47" s="658"/>
      <c r="H47" s="658"/>
      <c r="I47" s="658"/>
      <c r="J47" s="658"/>
      <c r="K47" s="658"/>
      <c r="L47" s="658"/>
      <c r="M47" s="658"/>
      <c r="N47" s="658"/>
      <c r="O47" s="658"/>
      <c r="P47" s="658"/>
      <c r="Q47" s="658"/>
      <c r="R47" s="658"/>
      <c r="S47" s="658"/>
      <c r="T47" s="658"/>
      <c r="U47" s="658"/>
      <c r="V47" s="658"/>
      <c r="W47" s="658"/>
      <c r="X47" s="658"/>
    </row>
    <row r="48" spans="2:24" ht="30" hidden="1" customHeight="1" outlineLevel="1" x14ac:dyDescent="0.35">
      <c r="B48" s="1398"/>
      <c r="C48" s="658"/>
      <c r="D48" s="658"/>
      <c r="E48" s="658"/>
      <c r="F48" s="658"/>
      <c r="G48" s="658"/>
      <c r="H48" s="658"/>
      <c r="I48" s="658"/>
      <c r="J48" s="658"/>
      <c r="K48" s="658"/>
      <c r="L48" s="658"/>
      <c r="M48" s="658"/>
      <c r="N48" s="658"/>
      <c r="O48" s="658"/>
      <c r="P48" s="658"/>
      <c r="Q48" s="658"/>
      <c r="R48" s="658"/>
      <c r="S48" s="658"/>
      <c r="T48" s="658"/>
      <c r="U48" s="658"/>
      <c r="V48" s="658"/>
      <c r="W48" s="658"/>
      <c r="X48" s="658"/>
    </row>
    <row r="49" spans="2:24" ht="30" hidden="1" customHeight="1" outlineLevel="1" x14ac:dyDescent="0.35">
      <c r="B49" s="1398"/>
      <c r="C49" s="658"/>
      <c r="D49" s="658"/>
      <c r="E49" s="658"/>
      <c r="F49" s="658"/>
      <c r="G49" s="658"/>
      <c r="H49" s="658"/>
      <c r="I49" s="658"/>
      <c r="J49" s="658"/>
      <c r="K49" s="658"/>
      <c r="L49" s="658"/>
      <c r="M49" s="658"/>
      <c r="N49" s="658"/>
      <c r="O49" s="658"/>
      <c r="P49" s="658"/>
      <c r="Q49" s="658"/>
      <c r="R49" s="658"/>
      <c r="S49" s="658"/>
      <c r="T49" s="658"/>
      <c r="U49" s="658"/>
      <c r="V49" s="658"/>
      <c r="W49" s="658"/>
      <c r="X49" s="658"/>
    </row>
    <row r="50" spans="2:24" ht="30" hidden="1" customHeight="1" outlineLevel="1" x14ac:dyDescent="0.35">
      <c r="B50" s="1388"/>
      <c r="C50" s="659"/>
      <c r="D50" s="659"/>
      <c r="E50" s="659"/>
      <c r="F50" s="659"/>
      <c r="G50" s="659"/>
      <c r="H50" s="659"/>
      <c r="I50" s="659"/>
      <c r="J50" s="659"/>
      <c r="K50" s="659"/>
      <c r="L50" s="659"/>
      <c r="M50" s="659"/>
      <c r="N50" s="659"/>
      <c r="O50" s="659"/>
      <c r="P50" s="659"/>
      <c r="Q50" s="659"/>
      <c r="R50" s="659"/>
      <c r="S50" s="659"/>
      <c r="T50" s="659"/>
      <c r="U50" s="659"/>
      <c r="V50" s="659"/>
      <c r="W50" s="659"/>
      <c r="X50" s="659"/>
    </row>
    <row r="51" spans="2:24" ht="30" customHeight="1" collapsed="1" thickBot="1" x14ac:dyDescent="0.4">
      <c r="C51" s="318"/>
      <c r="D51" s="318"/>
      <c r="E51" s="318"/>
      <c r="F51" s="318"/>
      <c r="G51" s="318"/>
      <c r="H51" s="318"/>
      <c r="I51" s="318"/>
      <c r="J51" s="318"/>
      <c r="K51" s="318"/>
      <c r="L51" s="318"/>
      <c r="M51" s="318"/>
      <c r="N51" s="318"/>
      <c r="O51" s="318"/>
      <c r="P51" s="318"/>
      <c r="Q51" s="318"/>
      <c r="R51" s="318"/>
      <c r="S51" s="318"/>
      <c r="T51" s="318"/>
      <c r="U51" s="318"/>
      <c r="V51" s="318"/>
      <c r="W51" s="318"/>
      <c r="X51" s="318"/>
    </row>
    <row r="52" spans="2:24" ht="30" customHeight="1" thickBot="1" x14ac:dyDescent="0.4">
      <c r="D52" s="1406" t="s">
        <v>310</v>
      </c>
      <c r="E52" s="1407"/>
      <c r="F52" s="1407"/>
      <c r="G52" s="1408"/>
      <c r="H52" s="1406" t="s">
        <v>311</v>
      </c>
      <c r="I52" s="1407"/>
      <c r="J52" s="1407"/>
      <c r="K52" s="1408"/>
      <c r="L52" s="1406" t="s">
        <v>312</v>
      </c>
      <c r="M52" s="1407"/>
      <c r="N52" s="1407"/>
      <c r="O52" s="1408"/>
      <c r="P52" s="1407" t="s">
        <v>313</v>
      </c>
      <c r="Q52" s="1407"/>
      <c r="R52" s="1407"/>
      <c r="S52" s="1408"/>
    </row>
    <row r="53" spans="2:24" ht="30" customHeight="1" x14ac:dyDescent="0.35">
      <c r="B53" s="1477" t="s">
        <v>820</v>
      </c>
      <c r="C53" s="1486" t="s">
        <v>339</v>
      </c>
      <c r="D53" s="1361" t="s">
        <v>340</v>
      </c>
      <c r="E53" s="1423"/>
      <c r="F53" s="188" t="s">
        <v>309</v>
      </c>
      <c r="G53" s="636" t="s">
        <v>341</v>
      </c>
      <c r="H53" s="1424" t="s">
        <v>340</v>
      </c>
      <c r="I53" s="1423"/>
      <c r="J53" s="188" t="s">
        <v>309</v>
      </c>
      <c r="K53" s="189" t="s">
        <v>341</v>
      </c>
      <c r="L53" s="1424" t="s">
        <v>340</v>
      </c>
      <c r="M53" s="1423"/>
      <c r="N53" s="188" t="s">
        <v>309</v>
      </c>
      <c r="O53" s="189" t="s">
        <v>341</v>
      </c>
      <c r="P53" s="1391" t="s">
        <v>340</v>
      </c>
      <c r="Q53" s="1423"/>
      <c r="R53" s="188" t="s">
        <v>309</v>
      </c>
      <c r="S53" s="189" t="s">
        <v>341</v>
      </c>
    </row>
    <row r="54" spans="2:24" ht="45" customHeight="1" x14ac:dyDescent="0.35">
      <c r="B54" s="1478"/>
      <c r="C54" s="1487"/>
      <c r="D54" s="167" t="s">
        <v>319</v>
      </c>
      <c r="E54" s="738">
        <v>82</v>
      </c>
      <c r="F54" s="1489" t="s">
        <v>485</v>
      </c>
      <c r="G54" s="1491" t="s">
        <v>496</v>
      </c>
      <c r="H54" s="688" t="s">
        <v>319</v>
      </c>
      <c r="I54" s="739">
        <f>240+400+240+480+240+144+50</f>
        <v>1794</v>
      </c>
      <c r="J54" s="1480" t="s">
        <v>485</v>
      </c>
      <c r="K54" s="1493" t="s">
        <v>488</v>
      </c>
      <c r="L54" s="688" t="s">
        <v>319</v>
      </c>
      <c r="M54" s="349">
        <v>1831</v>
      </c>
      <c r="N54" s="1480" t="s">
        <v>485</v>
      </c>
      <c r="O54" s="1482" t="s">
        <v>488</v>
      </c>
      <c r="P54" s="679" t="s">
        <v>319</v>
      </c>
      <c r="Q54" s="368"/>
      <c r="R54" s="1450"/>
      <c r="S54" s="1452"/>
    </row>
    <row r="55" spans="2:24" ht="45" customHeight="1" x14ac:dyDescent="0.35">
      <c r="B55" s="1479"/>
      <c r="C55" s="1488"/>
      <c r="D55" s="170" t="s">
        <v>326</v>
      </c>
      <c r="E55" s="700">
        <v>0.12</v>
      </c>
      <c r="F55" s="1490"/>
      <c r="G55" s="1492"/>
      <c r="H55" s="689" t="s">
        <v>326</v>
      </c>
      <c r="I55" s="172">
        <v>0.5</v>
      </c>
      <c r="J55" s="1481"/>
      <c r="K55" s="1494"/>
      <c r="L55" s="689" t="s">
        <v>326</v>
      </c>
      <c r="M55" s="172">
        <v>0.15</v>
      </c>
      <c r="N55" s="1481"/>
      <c r="O55" s="1483"/>
      <c r="P55" s="680" t="s">
        <v>326</v>
      </c>
      <c r="Q55" s="172"/>
      <c r="R55" s="1451"/>
      <c r="S55" s="1453"/>
    </row>
    <row r="56" spans="2:24" ht="30" customHeight="1" x14ac:dyDescent="0.35">
      <c r="B56" s="1387" t="s">
        <v>342</v>
      </c>
      <c r="C56" s="1484" t="s">
        <v>343</v>
      </c>
      <c r="D56" s="174" t="s">
        <v>344</v>
      </c>
      <c r="E56" s="295" t="s">
        <v>345</v>
      </c>
      <c r="F56" s="1365" t="s">
        <v>346</v>
      </c>
      <c r="G56" s="1441"/>
      <c r="H56" s="205" t="s">
        <v>344</v>
      </c>
      <c r="I56" s="638" t="s">
        <v>345</v>
      </c>
      <c r="J56" s="1365" t="s">
        <v>346</v>
      </c>
      <c r="K56" s="1433"/>
      <c r="L56" s="205" t="s">
        <v>344</v>
      </c>
      <c r="M56" s="638" t="s">
        <v>345</v>
      </c>
      <c r="N56" s="1365" t="s">
        <v>346</v>
      </c>
      <c r="O56" s="1433"/>
      <c r="P56" s="638" t="s">
        <v>344</v>
      </c>
      <c r="Q56" s="295" t="s">
        <v>345</v>
      </c>
      <c r="R56" s="1365" t="s">
        <v>346</v>
      </c>
      <c r="S56" s="1433"/>
    </row>
    <row r="57" spans="2:24" ht="30" customHeight="1" x14ac:dyDescent="0.35">
      <c r="B57" s="1398"/>
      <c r="C57" s="1485"/>
      <c r="D57" s="326"/>
      <c r="E57" s="192">
        <v>0.12</v>
      </c>
      <c r="F57" s="1458" t="s">
        <v>453</v>
      </c>
      <c r="G57" s="1495"/>
      <c r="H57" s="691"/>
      <c r="I57" s="194">
        <v>0.5</v>
      </c>
      <c r="J57" s="1460" t="s">
        <v>453</v>
      </c>
      <c r="K57" s="1461"/>
      <c r="L57" s="691">
        <v>1744</v>
      </c>
      <c r="M57" s="194">
        <v>0.15</v>
      </c>
      <c r="N57" s="1460" t="s">
        <v>453</v>
      </c>
      <c r="O57" s="1461"/>
      <c r="P57" s="644"/>
      <c r="Q57" s="194"/>
      <c r="R57" s="1460"/>
      <c r="S57" s="1461"/>
    </row>
    <row r="58" spans="2:24" ht="30" customHeight="1" x14ac:dyDescent="0.35">
      <c r="B58" s="1398"/>
      <c r="C58" s="1484" t="s">
        <v>347</v>
      </c>
      <c r="D58" s="195" t="s">
        <v>346</v>
      </c>
      <c r="E58" s="287" t="s">
        <v>330</v>
      </c>
      <c r="F58" s="174" t="s">
        <v>309</v>
      </c>
      <c r="G58" s="649" t="s">
        <v>341</v>
      </c>
      <c r="H58" s="692" t="s">
        <v>346</v>
      </c>
      <c r="I58" s="637" t="s">
        <v>330</v>
      </c>
      <c r="J58" s="174" t="s">
        <v>309</v>
      </c>
      <c r="K58" s="645" t="s">
        <v>341</v>
      </c>
      <c r="L58" s="692" t="s">
        <v>346</v>
      </c>
      <c r="M58" s="637" t="s">
        <v>330</v>
      </c>
      <c r="N58" s="174" t="s">
        <v>309</v>
      </c>
      <c r="O58" s="645" t="s">
        <v>341</v>
      </c>
      <c r="P58" s="681" t="s">
        <v>346</v>
      </c>
      <c r="Q58" s="287" t="s">
        <v>330</v>
      </c>
      <c r="R58" s="174" t="s">
        <v>309</v>
      </c>
      <c r="S58" s="288" t="s">
        <v>341</v>
      </c>
    </row>
    <row r="59" spans="2:24" ht="30" customHeight="1" x14ac:dyDescent="0.35">
      <c r="B59" s="1388"/>
      <c r="C59" s="1496"/>
      <c r="D59" s="326" t="s">
        <v>458</v>
      </c>
      <c r="E59" s="289" t="s">
        <v>480</v>
      </c>
      <c r="F59" s="177" t="s">
        <v>485</v>
      </c>
      <c r="G59" s="674" t="s">
        <v>496</v>
      </c>
      <c r="H59" s="691" t="s">
        <v>458</v>
      </c>
      <c r="I59" s="202" t="s">
        <v>480</v>
      </c>
      <c r="J59" s="179" t="s">
        <v>485</v>
      </c>
      <c r="K59" s="203" t="s">
        <v>488</v>
      </c>
      <c r="L59" s="691" t="s">
        <v>458</v>
      </c>
      <c r="M59" s="202" t="s">
        <v>480</v>
      </c>
      <c r="N59" s="179" t="s">
        <v>485</v>
      </c>
      <c r="O59" s="203" t="s">
        <v>488</v>
      </c>
      <c r="P59" s="699"/>
      <c r="Q59" s="202"/>
      <c r="R59" s="179"/>
      <c r="S59" s="203"/>
    </row>
    <row r="60" spans="2:24" ht="30" customHeight="1" thickBot="1" x14ac:dyDescent="0.4">
      <c r="B60" s="163"/>
      <c r="C60" s="163"/>
      <c r="D60" s="163"/>
      <c r="E60" s="163"/>
      <c r="F60" s="163"/>
      <c r="G60" s="163"/>
      <c r="H60" s="163"/>
      <c r="I60" s="163"/>
      <c r="J60" s="163"/>
      <c r="K60" s="163"/>
      <c r="L60" s="163"/>
      <c r="M60" s="163"/>
      <c r="N60" s="163"/>
      <c r="O60" s="163"/>
      <c r="P60" s="163"/>
      <c r="Q60" s="163"/>
      <c r="R60" s="163"/>
      <c r="S60" s="163"/>
      <c r="T60" s="163"/>
      <c r="U60" s="163"/>
    </row>
    <row r="61" spans="2:24" ht="30" customHeight="1" thickBot="1" x14ac:dyDescent="0.4">
      <c r="B61" s="163"/>
      <c r="C61" s="317"/>
      <c r="D61" s="1406" t="s">
        <v>310</v>
      </c>
      <c r="E61" s="1407"/>
      <c r="F61" s="1407"/>
      <c r="G61" s="1408"/>
      <c r="H61" s="1406" t="s">
        <v>311</v>
      </c>
      <c r="I61" s="1407"/>
      <c r="J61" s="1407"/>
      <c r="K61" s="1408"/>
      <c r="L61" s="1406" t="s">
        <v>312</v>
      </c>
      <c r="M61" s="1407"/>
      <c r="N61" s="1407"/>
      <c r="O61" s="1408"/>
      <c r="P61" s="1407" t="s">
        <v>313</v>
      </c>
      <c r="Q61" s="1407"/>
      <c r="R61" s="1407"/>
      <c r="S61" s="1408"/>
    </row>
    <row r="62" spans="2:24" ht="30" customHeight="1" x14ac:dyDescent="0.35">
      <c r="B62" s="1477" t="s">
        <v>348</v>
      </c>
      <c r="C62" s="1486" t="s">
        <v>349</v>
      </c>
      <c r="D62" s="1446" t="s">
        <v>350</v>
      </c>
      <c r="E62" s="1447"/>
      <c r="F62" s="1361" t="s">
        <v>309</v>
      </c>
      <c r="G62" s="1391"/>
      <c r="H62" s="1448" t="s">
        <v>350</v>
      </c>
      <c r="I62" s="1447"/>
      <c r="J62" s="1361" t="s">
        <v>309</v>
      </c>
      <c r="K62" s="1362"/>
      <c r="L62" s="1448" t="s">
        <v>350</v>
      </c>
      <c r="M62" s="1447"/>
      <c r="N62" s="1361" t="s">
        <v>309</v>
      </c>
      <c r="O62" s="1362"/>
      <c r="P62" s="1497" t="s">
        <v>350</v>
      </c>
      <c r="Q62" s="1447"/>
      <c r="R62" s="1361" t="s">
        <v>309</v>
      </c>
      <c r="S62" s="1362"/>
    </row>
    <row r="63" spans="2:24" ht="36.75" customHeight="1" x14ac:dyDescent="0.35">
      <c r="B63" s="1479"/>
      <c r="C63" s="1488"/>
      <c r="D63" s="1499">
        <v>0.3</v>
      </c>
      <c r="E63" s="1500"/>
      <c r="F63" s="1412" t="s">
        <v>485</v>
      </c>
      <c r="G63" s="1445"/>
      <c r="H63" s="1501">
        <v>0.6</v>
      </c>
      <c r="I63" s="1440"/>
      <c r="J63" s="1431" t="s">
        <v>485</v>
      </c>
      <c r="K63" s="1432"/>
      <c r="L63" s="1501">
        <v>0.6</v>
      </c>
      <c r="M63" s="1440"/>
      <c r="N63" s="1431" t="s">
        <v>485</v>
      </c>
      <c r="O63" s="1432"/>
      <c r="P63" s="1498"/>
      <c r="Q63" s="1440"/>
      <c r="R63" s="1431"/>
      <c r="S63" s="1432"/>
    </row>
    <row r="64" spans="2:24" ht="45" customHeight="1" x14ac:dyDescent="0.35">
      <c r="B64" s="1387" t="s">
        <v>821</v>
      </c>
      <c r="C64" s="1484" t="s">
        <v>351</v>
      </c>
      <c r="D64" s="174" t="s">
        <v>352</v>
      </c>
      <c r="E64" s="174" t="s">
        <v>353</v>
      </c>
      <c r="F64" s="1365" t="s">
        <v>354</v>
      </c>
      <c r="G64" s="1441"/>
      <c r="H64" s="205" t="s">
        <v>352</v>
      </c>
      <c r="I64" s="174" t="s">
        <v>353</v>
      </c>
      <c r="J64" s="1441" t="s">
        <v>354</v>
      </c>
      <c r="K64" s="1433"/>
      <c r="L64" s="205" t="s">
        <v>352</v>
      </c>
      <c r="M64" s="174" t="s">
        <v>353</v>
      </c>
      <c r="N64" s="1441" t="s">
        <v>354</v>
      </c>
      <c r="O64" s="1433"/>
      <c r="P64" s="638" t="s">
        <v>352</v>
      </c>
      <c r="Q64" s="174" t="s">
        <v>353</v>
      </c>
      <c r="R64" s="1441" t="s">
        <v>354</v>
      </c>
      <c r="S64" s="1433"/>
    </row>
    <row r="65" spans="2:21" ht="27" customHeight="1" x14ac:dyDescent="0.35">
      <c r="B65" s="1388"/>
      <c r="C65" s="1485"/>
      <c r="D65" s="737">
        <v>0</v>
      </c>
      <c r="E65" s="701">
        <v>0</v>
      </c>
      <c r="F65" s="1442" t="s">
        <v>505</v>
      </c>
      <c r="G65" s="1442"/>
      <c r="H65" s="691">
        <v>40000</v>
      </c>
      <c r="I65" s="194">
        <v>0.5</v>
      </c>
      <c r="J65" s="1437" t="s">
        <v>497</v>
      </c>
      <c r="K65" s="1438"/>
      <c r="L65" s="691">
        <f>22867*6</f>
        <v>137202</v>
      </c>
      <c r="M65" s="194">
        <v>0.5</v>
      </c>
      <c r="N65" s="1437" t="s">
        <v>497</v>
      </c>
      <c r="O65" s="1438"/>
      <c r="P65" s="644"/>
      <c r="Q65" s="194"/>
      <c r="R65" s="1437"/>
      <c r="S65" s="1438"/>
    </row>
    <row r="66" spans="2:21" ht="33.75" customHeight="1" thickBot="1" x14ac:dyDescent="0.4">
      <c r="B66" s="163"/>
      <c r="C66" s="317"/>
      <c r="D66" s="317"/>
      <c r="E66" s="317"/>
      <c r="F66" s="317"/>
      <c r="G66" s="317"/>
      <c r="H66" s="317"/>
      <c r="I66" s="317"/>
      <c r="J66" s="317"/>
      <c r="K66" s="317"/>
      <c r="L66" s="317"/>
      <c r="M66" s="317"/>
      <c r="N66" s="317"/>
      <c r="O66" s="317"/>
      <c r="P66" s="317"/>
      <c r="Q66" s="317"/>
      <c r="R66" s="317"/>
      <c r="S66" s="317"/>
      <c r="T66" s="317"/>
      <c r="U66" s="317"/>
    </row>
    <row r="67" spans="2:21" ht="37.5" customHeight="1" thickBot="1" x14ac:dyDescent="0.4">
      <c r="B67" s="163"/>
      <c r="C67" s="317"/>
      <c r="D67" s="1406" t="s">
        <v>310</v>
      </c>
      <c r="E67" s="1407"/>
      <c r="F67" s="1407"/>
      <c r="G67" s="1408"/>
      <c r="H67" s="1406" t="s">
        <v>311</v>
      </c>
      <c r="I67" s="1407"/>
      <c r="J67" s="1407"/>
      <c r="K67" s="1408"/>
      <c r="L67" s="1406" t="s">
        <v>312</v>
      </c>
      <c r="M67" s="1407"/>
      <c r="N67" s="1407"/>
      <c r="O67" s="1408"/>
      <c r="P67" s="1407" t="s">
        <v>313</v>
      </c>
      <c r="Q67" s="1407"/>
      <c r="R67" s="1407"/>
      <c r="S67" s="1408"/>
    </row>
    <row r="68" spans="2:21" ht="30.75" customHeight="1" x14ac:dyDescent="0.35">
      <c r="B68" s="1477" t="s">
        <v>822</v>
      </c>
      <c r="C68" s="1486" t="s">
        <v>355</v>
      </c>
      <c r="D68" s="327" t="s">
        <v>356</v>
      </c>
      <c r="E68" s="188" t="s">
        <v>357</v>
      </c>
      <c r="F68" s="1361" t="s">
        <v>358</v>
      </c>
      <c r="G68" s="1391"/>
      <c r="H68" s="693" t="s">
        <v>356</v>
      </c>
      <c r="I68" s="188" t="s">
        <v>357</v>
      </c>
      <c r="J68" s="1361" t="s">
        <v>358</v>
      </c>
      <c r="K68" s="1362"/>
      <c r="L68" s="693" t="s">
        <v>356</v>
      </c>
      <c r="M68" s="188" t="s">
        <v>357</v>
      </c>
      <c r="N68" s="1361" t="s">
        <v>358</v>
      </c>
      <c r="O68" s="1362"/>
      <c r="P68" s="682" t="s">
        <v>356</v>
      </c>
      <c r="Q68" s="188" t="s">
        <v>357</v>
      </c>
      <c r="R68" s="1361" t="s">
        <v>358</v>
      </c>
      <c r="S68" s="1362"/>
    </row>
    <row r="69" spans="2:21" s="631" customFormat="1" ht="34.5" customHeight="1" x14ac:dyDescent="0.35">
      <c r="B69" s="1478"/>
      <c r="C69" s="1488"/>
      <c r="D69" s="320" t="s">
        <v>482</v>
      </c>
      <c r="E69" s="208" t="s">
        <v>480</v>
      </c>
      <c r="F69" s="1502" t="s">
        <v>506</v>
      </c>
      <c r="G69" s="1503"/>
      <c r="H69" s="694" t="s">
        <v>482</v>
      </c>
      <c r="I69" s="210" t="s">
        <v>480</v>
      </c>
      <c r="J69" s="1427" t="s">
        <v>490</v>
      </c>
      <c r="K69" s="1438"/>
      <c r="L69" s="694" t="s">
        <v>482</v>
      </c>
      <c r="M69" s="210" t="s">
        <v>480</v>
      </c>
      <c r="N69" s="1427" t="s">
        <v>490</v>
      </c>
      <c r="O69" s="1438"/>
      <c r="P69" s="683"/>
      <c r="Q69" s="210"/>
      <c r="R69" s="1427"/>
      <c r="S69" s="1438"/>
    </row>
    <row r="70" spans="2:21" ht="29.25" customHeight="1" x14ac:dyDescent="0.35">
      <c r="B70" s="1478"/>
      <c r="C70" s="1486" t="s">
        <v>829</v>
      </c>
      <c r="D70" s="174" t="s">
        <v>309</v>
      </c>
      <c r="E70" s="292" t="s">
        <v>359</v>
      </c>
      <c r="F70" s="1365" t="s">
        <v>360</v>
      </c>
      <c r="G70" s="1441"/>
      <c r="H70" s="205" t="s">
        <v>309</v>
      </c>
      <c r="I70" s="649" t="s">
        <v>359</v>
      </c>
      <c r="J70" s="1365" t="s">
        <v>360</v>
      </c>
      <c r="K70" s="1433"/>
      <c r="L70" s="205" t="s">
        <v>309</v>
      </c>
      <c r="M70" s="649" t="s">
        <v>359</v>
      </c>
      <c r="N70" s="1365" t="s">
        <v>360</v>
      </c>
      <c r="O70" s="1433"/>
      <c r="P70" s="638" t="s">
        <v>309</v>
      </c>
      <c r="Q70" s="292" t="s">
        <v>359</v>
      </c>
      <c r="R70" s="1365" t="s">
        <v>360</v>
      </c>
      <c r="S70" s="1433"/>
    </row>
    <row r="71" spans="2:21" ht="62.25" customHeight="1" x14ac:dyDescent="0.35">
      <c r="B71" s="1478"/>
      <c r="C71" s="1487"/>
      <c r="D71" s="231" t="s">
        <v>430</v>
      </c>
      <c r="E71" s="208" t="s">
        <v>832</v>
      </c>
      <c r="F71" s="1504" t="s">
        <v>513</v>
      </c>
      <c r="G71" s="1505"/>
      <c r="H71" s="690" t="s">
        <v>430</v>
      </c>
      <c r="I71" s="210" t="s">
        <v>832</v>
      </c>
      <c r="J71" s="1431" t="s">
        <v>499</v>
      </c>
      <c r="K71" s="1432"/>
      <c r="L71" s="690" t="s">
        <v>430</v>
      </c>
      <c r="M71" s="210" t="s">
        <v>832</v>
      </c>
      <c r="N71" s="1431" t="s">
        <v>499</v>
      </c>
      <c r="O71" s="1432"/>
      <c r="P71" s="639"/>
      <c r="Q71" s="210"/>
      <c r="R71" s="1431"/>
      <c r="S71" s="1432"/>
    </row>
    <row r="72" spans="2:21" ht="60.75" customHeight="1" outlineLevel="1" x14ac:dyDescent="0.35">
      <c r="B72" s="1478"/>
      <c r="C72" s="1487"/>
      <c r="D72" s="231" t="s">
        <v>482</v>
      </c>
      <c r="E72" s="208" t="s">
        <v>832</v>
      </c>
      <c r="F72" s="1504" t="s">
        <v>513</v>
      </c>
      <c r="G72" s="1505"/>
      <c r="H72" s="690" t="s">
        <v>482</v>
      </c>
      <c r="I72" s="210" t="s">
        <v>832</v>
      </c>
      <c r="J72" s="1431" t="s">
        <v>499</v>
      </c>
      <c r="K72" s="1432"/>
      <c r="L72" s="690" t="s">
        <v>482</v>
      </c>
      <c r="M72" s="210" t="s">
        <v>832</v>
      </c>
      <c r="N72" s="1431" t="s">
        <v>499</v>
      </c>
      <c r="O72" s="1432"/>
      <c r="P72" s="639"/>
      <c r="Q72" s="210"/>
      <c r="R72" s="1431"/>
      <c r="S72" s="1432"/>
    </row>
    <row r="73" spans="2:21" ht="20.25" customHeight="1" outlineLevel="1" x14ac:dyDescent="0.35">
      <c r="B73" s="1478"/>
      <c r="C73" s="1487"/>
      <c r="D73" s="231"/>
      <c r="E73" s="208"/>
      <c r="F73" s="1412"/>
      <c r="G73" s="1445"/>
      <c r="H73" s="690"/>
      <c r="I73" s="210"/>
      <c r="J73" s="1431"/>
      <c r="K73" s="1432"/>
      <c r="L73" s="690"/>
      <c r="M73" s="210"/>
      <c r="N73" s="1431"/>
      <c r="O73" s="1432"/>
      <c r="P73" s="639"/>
      <c r="Q73" s="210"/>
      <c r="R73" s="1431"/>
      <c r="S73" s="1432"/>
    </row>
    <row r="74" spans="2:21" ht="20.25" customHeight="1" outlineLevel="1" x14ac:dyDescent="0.35">
      <c r="B74" s="1478"/>
      <c r="C74" s="1487"/>
      <c r="D74" s="231"/>
      <c r="E74" s="208"/>
      <c r="F74" s="1412"/>
      <c r="G74" s="1445"/>
      <c r="H74" s="690"/>
      <c r="I74" s="210"/>
      <c r="J74" s="1431"/>
      <c r="K74" s="1432"/>
      <c r="L74" s="690"/>
      <c r="M74" s="210"/>
      <c r="N74" s="1431"/>
      <c r="O74" s="1432"/>
      <c r="P74" s="639"/>
      <c r="Q74" s="210"/>
      <c r="R74" s="1431"/>
      <c r="S74" s="1432"/>
    </row>
    <row r="75" spans="2:21" ht="20.25" customHeight="1" outlineLevel="1" x14ac:dyDescent="0.35">
      <c r="B75" s="1478"/>
      <c r="C75" s="1487"/>
      <c r="D75" s="231"/>
      <c r="E75" s="208"/>
      <c r="F75" s="1412"/>
      <c r="G75" s="1445"/>
      <c r="H75" s="690"/>
      <c r="I75" s="210"/>
      <c r="J75" s="1431"/>
      <c r="K75" s="1432"/>
      <c r="L75" s="690"/>
      <c r="M75" s="210"/>
      <c r="N75" s="1431"/>
      <c r="O75" s="1432"/>
      <c r="P75" s="639"/>
      <c r="Q75" s="210"/>
      <c r="R75" s="1431"/>
      <c r="S75" s="1432"/>
    </row>
    <row r="76" spans="2:21" ht="20.25" customHeight="1" outlineLevel="1" x14ac:dyDescent="0.35">
      <c r="B76" s="1479"/>
      <c r="C76" s="1488"/>
      <c r="D76" s="231"/>
      <c r="E76" s="208"/>
      <c r="F76" s="1412"/>
      <c r="G76" s="1445"/>
      <c r="H76" s="690"/>
      <c r="I76" s="210"/>
      <c r="J76" s="1431"/>
      <c r="K76" s="1432"/>
      <c r="L76" s="690"/>
      <c r="M76" s="210"/>
      <c r="N76" s="1431"/>
      <c r="O76" s="1432"/>
      <c r="P76" s="639"/>
      <c r="Q76" s="210"/>
      <c r="R76" s="1431"/>
      <c r="S76" s="1432"/>
    </row>
    <row r="77" spans="2:21" ht="27.75" customHeight="1" x14ac:dyDescent="0.35">
      <c r="B77" s="1387" t="s">
        <v>361</v>
      </c>
      <c r="C77" s="1506" t="s">
        <v>657</v>
      </c>
      <c r="D77" s="295" t="s">
        <v>362</v>
      </c>
      <c r="E77" s="1365" t="s">
        <v>346</v>
      </c>
      <c r="F77" s="1366"/>
      <c r="G77" s="637" t="s">
        <v>309</v>
      </c>
      <c r="H77" s="205" t="s">
        <v>362</v>
      </c>
      <c r="I77" s="1365" t="s">
        <v>346</v>
      </c>
      <c r="J77" s="1366"/>
      <c r="K77" s="175" t="s">
        <v>309</v>
      </c>
      <c r="L77" s="205" t="s">
        <v>362</v>
      </c>
      <c r="M77" s="1365" t="s">
        <v>346</v>
      </c>
      <c r="N77" s="1366"/>
      <c r="O77" s="175" t="s">
        <v>309</v>
      </c>
      <c r="P77" s="295" t="s">
        <v>362</v>
      </c>
      <c r="Q77" s="1365" t="s">
        <v>346</v>
      </c>
      <c r="R77" s="1366"/>
      <c r="S77" s="175" t="s">
        <v>309</v>
      </c>
    </row>
    <row r="78" spans="2:21" ht="21" customHeight="1" x14ac:dyDescent="0.35">
      <c r="B78" s="1398"/>
      <c r="C78" s="1506"/>
      <c r="D78" s="294"/>
      <c r="E78" s="1425" t="s">
        <v>459</v>
      </c>
      <c r="F78" s="1426"/>
      <c r="G78" s="643" t="s">
        <v>430</v>
      </c>
      <c r="H78" s="691"/>
      <c r="I78" s="1427" t="s">
        <v>459</v>
      </c>
      <c r="J78" s="1428"/>
      <c r="K78" s="214" t="s">
        <v>430</v>
      </c>
      <c r="L78" s="691">
        <v>3</v>
      </c>
      <c r="M78" s="1427" t="s">
        <v>459</v>
      </c>
      <c r="N78" s="1428"/>
      <c r="O78" s="214" t="s">
        <v>430</v>
      </c>
      <c r="P78" s="293"/>
      <c r="Q78" s="1427"/>
      <c r="R78" s="1428"/>
      <c r="S78" s="214"/>
    </row>
    <row r="79" spans="2:21" ht="21" customHeight="1" outlineLevel="1" x14ac:dyDescent="0.35">
      <c r="B79" s="1398"/>
      <c r="C79" s="1506"/>
      <c r="D79" s="294"/>
      <c r="E79" s="1425" t="s">
        <v>459</v>
      </c>
      <c r="F79" s="1426"/>
      <c r="G79" s="643" t="s">
        <v>482</v>
      </c>
      <c r="H79" s="691"/>
      <c r="I79" s="1427" t="s">
        <v>459</v>
      </c>
      <c r="J79" s="1428"/>
      <c r="K79" s="214" t="s">
        <v>482</v>
      </c>
      <c r="L79" s="691">
        <v>1</v>
      </c>
      <c r="M79" s="1427" t="s">
        <v>459</v>
      </c>
      <c r="N79" s="1428"/>
      <c r="O79" s="214" t="s">
        <v>482</v>
      </c>
      <c r="P79" s="293"/>
      <c r="Q79" s="1427"/>
      <c r="R79" s="1428"/>
      <c r="S79" s="214"/>
    </row>
    <row r="80" spans="2:21" ht="21" customHeight="1" outlineLevel="1" x14ac:dyDescent="0.35">
      <c r="B80" s="1398"/>
      <c r="C80" s="1506"/>
      <c r="D80" s="294"/>
      <c r="E80" s="1425" t="s">
        <v>459</v>
      </c>
      <c r="F80" s="1426"/>
      <c r="G80" s="643" t="s">
        <v>469</v>
      </c>
      <c r="H80" s="691"/>
      <c r="I80" s="1427" t="s">
        <v>459</v>
      </c>
      <c r="J80" s="1428"/>
      <c r="K80" s="214" t="s">
        <v>469</v>
      </c>
      <c r="L80" s="691">
        <v>2</v>
      </c>
      <c r="M80" s="1427" t="s">
        <v>459</v>
      </c>
      <c r="N80" s="1428"/>
      <c r="O80" s="214" t="s">
        <v>469</v>
      </c>
      <c r="P80" s="293"/>
      <c r="Q80" s="1427"/>
      <c r="R80" s="1428"/>
      <c r="S80" s="214"/>
    </row>
    <row r="81" spans="2:21" ht="21" customHeight="1" outlineLevel="1" x14ac:dyDescent="0.35">
      <c r="B81" s="1398"/>
      <c r="C81" s="1506"/>
      <c r="D81" s="294"/>
      <c r="E81" s="1425"/>
      <c r="F81" s="1426"/>
      <c r="G81" s="643"/>
      <c r="H81" s="691"/>
      <c r="I81" s="1427"/>
      <c r="J81" s="1428"/>
      <c r="K81" s="214"/>
      <c r="L81" s="691"/>
      <c r="M81" s="1427"/>
      <c r="N81" s="1428"/>
      <c r="O81" s="214"/>
      <c r="P81" s="293"/>
      <c r="Q81" s="1427"/>
      <c r="R81" s="1428"/>
      <c r="S81" s="214"/>
    </row>
    <row r="82" spans="2:21" ht="21" customHeight="1" outlineLevel="1" x14ac:dyDescent="0.35">
      <c r="B82" s="1398"/>
      <c r="C82" s="1506"/>
      <c r="D82" s="294"/>
      <c r="E82" s="1425"/>
      <c r="F82" s="1426"/>
      <c r="G82" s="643"/>
      <c r="H82" s="691"/>
      <c r="I82" s="1427"/>
      <c r="J82" s="1428"/>
      <c r="K82" s="214"/>
      <c r="L82" s="691"/>
      <c r="M82" s="1427"/>
      <c r="N82" s="1428"/>
      <c r="O82" s="214"/>
      <c r="P82" s="293"/>
      <c r="Q82" s="1427"/>
      <c r="R82" s="1428"/>
      <c r="S82" s="214"/>
    </row>
    <row r="83" spans="2:21" ht="21" customHeight="1" outlineLevel="1" x14ac:dyDescent="0.35">
      <c r="B83" s="1388"/>
      <c r="C83" s="1506"/>
      <c r="D83" s="294"/>
      <c r="E83" s="1425"/>
      <c r="F83" s="1426"/>
      <c r="G83" s="643"/>
      <c r="H83" s="691"/>
      <c r="I83" s="1427"/>
      <c r="J83" s="1428"/>
      <c r="K83" s="214"/>
      <c r="L83" s="691"/>
      <c r="M83" s="1427"/>
      <c r="N83" s="1428"/>
      <c r="O83" s="214"/>
      <c r="P83" s="293"/>
      <c r="Q83" s="1427"/>
      <c r="R83" s="1428"/>
      <c r="S83" s="214"/>
    </row>
    <row r="84" spans="2:21" ht="31.5" customHeight="1" thickBot="1" x14ac:dyDescent="0.4">
      <c r="B84" s="163"/>
      <c r="C84" s="319"/>
      <c r="D84" s="319"/>
      <c r="E84" s="319"/>
      <c r="F84" s="319"/>
      <c r="G84" s="319"/>
      <c r="H84" s="319"/>
      <c r="I84" s="319"/>
      <c r="J84" s="319"/>
      <c r="K84" s="319"/>
      <c r="L84" s="319"/>
      <c r="M84" s="319"/>
      <c r="N84" s="319"/>
      <c r="O84" s="319"/>
      <c r="P84" s="319"/>
      <c r="Q84" s="319"/>
      <c r="R84" s="319"/>
      <c r="S84" s="319"/>
      <c r="T84" s="319"/>
      <c r="U84" s="319"/>
    </row>
    <row r="85" spans="2:21" ht="30.75" customHeight="1" thickBot="1" x14ac:dyDescent="0.4">
      <c r="B85" s="163"/>
      <c r="C85" s="317"/>
      <c r="D85" s="1406" t="s">
        <v>310</v>
      </c>
      <c r="E85" s="1407"/>
      <c r="F85" s="1407"/>
      <c r="G85" s="1408"/>
      <c r="H85" s="1406" t="s">
        <v>311</v>
      </c>
      <c r="I85" s="1407"/>
      <c r="J85" s="1407"/>
      <c r="K85" s="1408"/>
      <c r="L85" s="1406" t="s">
        <v>312</v>
      </c>
      <c r="M85" s="1407"/>
      <c r="N85" s="1407"/>
      <c r="O85" s="1408"/>
      <c r="P85" s="1407" t="s">
        <v>313</v>
      </c>
      <c r="Q85" s="1407"/>
      <c r="R85" s="1407"/>
      <c r="S85" s="1408"/>
    </row>
    <row r="86" spans="2:21" ht="30.75" customHeight="1" x14ac:dyDescent="0.35">
      <c r="B86" s="1399" t="s">
        <v>823</v>
      </c>
      <c r="C86" s="1486" t="s">
        <v>363</v>
      </c>
      <c r="D86" s="1361" t="s">
        <v>364</v>
      </c>
      <c r="E86" s="1423"/>
      <c r="F86" s="188" t="s">
        <v>309</v>
      </c>
      <c r="G86" s="206" t="s">
        <v>346</v>
      </c>
      <c r="H86" s="1424" t="s">
        <v>364</v>
      </c>
      <c r="I86" s="1423"/>
      <c r="J86" s="188" t="s">
        <v>309</v>
      </c>
      <c r="K86" s="216" t="s">
        <v>346</v>
      </c>
      <c r="L86" s="1424" t="s">
        <v>364</v>
      </c>
      <c r="M86" s="1423"/>
      <c r="N86" s="188" t="s">
        <v>309</v>
      </c>
      <c r="O86" s="216" t="s">
        <v>346</v>
      </c>
      <c r="P86" s="1391" t="s">
        <v>364</v>
      </c>
      <c r="Q86" s="1423"/>
      <c r="R86" s="188" t="s">
        <v>309</v>
      </c>
      <c r="S86" s="216" t="s">
        <v>346</v>
      </c>
    </row>
    <row r="87" spans="2:21" ht="29.25" customHeight="1" x14ac:dyDescent="0.35">
      <c r="B87" s="1400"/>
      <c r="C87" s="1488"/>
      <c r="D87" s="1412" t="s">
        <v>509</v>
      </c>
      <c r="E87" s="1429"/>
      <c r="F87" s="207" t="s">
        <v>482</v>
      </c>
      <c r="G87" s="675"/>
      <c r="H87" s="647" t="s">
        <v>501</v>
      </c>
      <c r="I87" s="648"/>
      <c r="J87" s="209"/>
      <c r="K87" s="220"/>
      <c r="L87" s="647" t="s">
        <v>501</v>
      </c>
      <c r="M87" s="648"/>
      <c r="N87" s="209" t="s">
        <v>430</v>
      </c>
      <c r="O87" s="220" t="s">
        <v>410</v>
      </c>
      <c r="P87" s="684"/>
      <c r="Q87" s="291"/>
      <c r="R87" s="209"/>
      <c r="S87" s="220"/>
    </row>
    <row r="88" spans="2:21" ht="35.25" customHeight="1" x14ac:dyDescent="0.35">
      <c r="B88" s="1507" t="s">
        <v>365</v>
      </c>
      <c r="C88" s="1484" t="s">
        <v>830</v>
      </c>
      <c r="D88" s="174" t="s">
        <v>367</v>
      </c>
      <c r="E88" s="174" t="s">
        <v>368</v>
      </c>
      <c r="F88" s="295" t="s">
        <v>369</v>
      </c>
      <c r="G88" s="637" t="s">
        <v>370</v>
      </c>
      <c r="H88" s="205" t="s">
        <v>367</v>
      </c>
      <c r="I88" s="174" t="s">
        <v>368</v>
      </c>
      <c r="J88" s="638" t="s">
        <v>369</v>
      </c>
      <c r="K88" s="175" t="s">
        <v>370</v>
      </c>
      <c r="L88" s="205" t="s">
        <v>367</v>
      </c>
      <c r="M88" s="174" t="s">
        <v>368</v>
      </c>
      <c r="N88" s="638" t="s">
        <v>369</v>
      </c>
      <c r="O88" s="175" t="s">
        <v>370</v>
      </c>
      <c r="P88" s="638" t="s">
        <v>367</v>
      </c>
      <c r="Q88" s="174" t="s">
        <v>368</v>
      </c>
      <c r="R88" s="295" t="s">
        <v>369</v>
      </c>
      <c r="S88" s="175" t="s">
        <v>370</v>
      </c>
    </row>
    <row r="89" spans="2:21" ht="16.5" customHeight="1" x14ac:dyDescent="0.35">
      <c r="B89" s="1507"/>
      <c r="C89" s="1508"/>
      <c r="D89" s="1489" t="s">
        <v>540</v>
      </c>
      <c r="E89" s="1416">
        <v>1</v>
      </c>
      <c r="F89" s="1414" t="s">
        <v>521</v>
      </c>
      <c r="G89" s="1509" t="s">
        <v>509</v>
      </c>
      <c r="H89" s="1511" t="s">
        <v>540</v>
      </c>
      <c r="I89" s="1372">
        <v>1</v>
      </c>
      <c r="J89" s="1372" t="s">
        <v>521</v>
      </c>
      <c r="K89" s="1374" t="s">
        <v>501</v>
      </c>
      <c r="L89" s="1511" t="s">
        <v>540</v>
      </c>
      <c r="M89" s="1372">
        <v>2</v>
      </c>
      <c r="N89" s="1372" t="s">
        <v>521</v>
      </c>
      <c r="O89" s="1374" t="s">
        <v>493</v>
      </c>
      <c r="P89" s="1513"/>
      <c r="Q89" s="1372"/>
      <c r="R89" s="1372"/>
      <c r="S89" s="1374"/>
    </row>
    <row r="90" spans="2:21" ht="16.5" customHeight="1" x14ac:dyDescent="0.35">
      <c r="B90" s="1507"/>
      <c r="C90" s="1508"/>
      <c r="D90" s="1490"/>
      <c r="E90" s="1417"/>
      <c r="F90" s="1415"/>
      <c r="G90" s="1510"/>
      <c r="H90" s="1512"/>
      <c r="I90" s="1373"/>
      <c r="J90" s="1373"/>
      <c r="K90" s="1375"/>
      <c r="L90" s="1512"/>
      <c r="M90" s="1373"/>
      <c r="N90" s="1373"/>
      <c r="O90" s="1375"/>
      <c r="P90" s="1514"/>
      <c r="Q90" s="1373"/>
      <c r="R90" s="1373"/>
      <c r="S90" s="1375"/>
    </row>
    <row r="91" spans="2:21" ht="36" outlineLevel="1" x14ac:dyDescent="0.35">
      <c r="B91" s="1507"/>
      <c r="C91" s="1508"/>
      <c r="D91" s="174" t="s">
        <v>367</v>
      </c>
      <c r="E91" s="174" t="s">
        <v>368</v>
      </c>
      <c r="F91" s="295" t="s">
        <v>369</v>
      </c>
      <c r="G91" s="637" t="s">
        <v>370</v>
      </c>
      <c r="H91" s="205" t="s">
        <v>367</v>
      </c>
      <c r="I91" s="174" t="s">
        <v>368</v>
      </c>
      <c r="J91" s="638" t="s">
        <v>369</v>
      </c>
      <c r="K91" s="175" t="s">
        <v>370</v>
      </c>
      <c r="L91" s="205" t="s">
        <v>367</v>
      </c>
      <c r="M91" s="174" t="s">
        <v>368</v>
      </c>
      <c r="N91" s="638" t="s">
        <v>369</v>
      </c>
      <c r="O91" s="175" t="s">
        <v>370</v>
      </c>
      <c r="P91" s="638" t="s">
        <v>367</v>
      </c>
      <c r="Q91" s="174" t="s">
        <v>368</v>
      </c>
      <c r="R91" s="295" t="s">
        <v>369</v>
      </c>
      <c r="S91" s="175" t="s">
        <v>370</v>
      </c>
    </row>
    <row r="92" spans="2:21" ht="16.5" customHeight="1" outlineLevel="1" x14ac:dyDescent="0.35">
      <c r="B92" s="1507"/>
      <c r="C92" s="1508"/>
      <c r="D92" s="1489" t="s">
        <v>562</v>
      </c>
      <c r="E92" s="1416">
        <v>1</v>
      </c>
      <c r="F92" s="1414" t="s">
        <v>523</v>
      </c>
      <c r="G92" s="1509" t="s">
        <v>509</v>
      </c>
      <c r="H92" s="1511" t="s">
        <v>562</v>
      </c>
      <c r="I92" s="1372">
        <v>1</v>
      </c>
      <c r="J92" s="1372" t="s">
        <v>523</v>
      </c>
      <c r="K92" s="1374" t="s">
        <v>501</v>
      </c>
      <c r="L92" s="1511" t="s">
        <v>562</v>
      </c>
      <c r="M92" s="1372">
        <v>1</v>
      </c>
      <c r="N92" s="1372" t="s">
        <v>523</v>
      </c>
      <c r="O92" s="1374" t="s">
        <v>493</v>
      </c>
      <c r="P92" s="1513"/>
      <c r="Q92" s="1372"/>
      <c r="R92" s="1372"/>
      <c r="S92" s="1374"/>
    </row>
    <row r="93" spans="2:21" ht="16.5" customHeight="1" outlineLevel="1" x14ac:dyDescent="0.35">
      <c r="B93" s="1507"/>
      <c r="C93" s="1508"/>
      <c r="D93" s="1490"/>
      <c r="E93" s="1417"/>
      <c r="F93" s="1415"/>
      <c r="G93" s="1510"/>
      <c r="H93" s="1512"/>
      <c r="I93" s="1373"/>
      <c r="J93" s="1373"/>
      <c r="K93" s="1375"/>
      <c r="L93" s="1512"/>
      <c r="M93" s="1373"/>
      <c r="N93" s="1373"/>
      <c r="O93" s="1375"/>
      <c r="P93" s="1514"/>
      <c r="Q93" s="1373"/>
      <c r="R93" s="1373"/>
      <c r="S93" s="1375"/>
    </row>
    <row r="94" spans="2:21" ht="36" outlineLevel="1" x14ac:dyDescent="0.35">
      <c r="B94" s="1507"/>
      <c r="C94" s="1508"/>
      <c r="D94" s="174" t="s">
        <v>367</v>
      </c>
      <c r="E94" s="174" t="s">
        <v>368</v>
      </c>
      <c r="F94" s="295" t="s">
        <v>369</v>
      </c>
      <c r="G94" s="637" t="s">
        <v>370</v>
      </c>
      <c r="H94" s="205" t="s">
        <v>367</v>
      </c>
      <c r="I94" s="174" t="s">
        <v>368</v>
      </c>
      <c r="J94" s="638" t="s">
        <v>369</v>
      </c>
      <c r="K94" s="175" t="s">
        <v>370</v>
      </c>
      <c r="L94" s="205" t="s">
        <v>367</v>
      </c>
      <c r="M94" s="174" t="s">
        <v>368</v>
      </c>
      <c r="N94" s="638" t="s">
        <v>369</v>
      </c>
      <c r="O94" s="175" t="s">
        <v>370</v>
      </c>
      <c r="P94" s="638" t="s">
        <v>367</v>
      </c>
      <c r="Q94" s="174" t="s">
        <v>368</v>
      </c>
      <c r="R94" s="295" t="s">
        <v>369</v>
      </c>
      <c r="S94" s="175" t="s">
        <v>370</v>
      </c>
    </row>
    <row r="95" spans="2:21" ht="16.5" customHeight="1" outlineLevel="1" x14ac:dyDescent="0.35">
      <c r="B95" s="1507"/>
      <c r="C95" s="1508"/>
      <c r="D95" s="1489" t="s">
        <v>562</v>
      </c>
      <c r="E95" s="1416">
        <v>4</v>
      </c>
      <c r="F95" s="1414" t="s">
        <v>526</v>
      </c>
      <c r="G95" s="1509" t="s">
        <v>509</v>
      </c>
      <c r="H95" s="1511" t="s">
        <v>562</v>
      </c>
      <c r="I95" s="1372">
        <v>4</v>
      </c>
      <c r="J95" s="1372" t="s">
        <v>526</v>
      </c>
      <c r="K95" s="1374" t="s">
        <v>501</v>
      </c>
      <c r="L95" s="1511" t="s">
        <v>562</v>
      </c>
      <c r="M95" s="1372">
        <v>4</v>
      </c>
      <c r="N95" s="1372" t="s">
        <v>526</v>
      </c>
      <c r="O95" s="1374" t="s">
        <v>493</v>
      </c>
      <c r="P95" s="1513"/>
      <c r="Q95" s="1372"/>
      <c r="R95" s="1372"/>
      <c r="S95" s="1374"/>
    </row>
    <row r="96" spans="2:21" ht="16.5" customHeight="1" outlineLevel="1" x14ac:dyDescent="0.35">
      <c r="B96" s="1507"/>
      <c r="C96" s="1508"/>
      <c r="D96" s="1490"/>
      <c r="E96" s="1417"/>
      <c r="F96" s="1415"/>
      <c r="G96" s="1510"/>
      <c r="H96" s="1512"/>
      <c r="I96" s="1373"/>
      <c r="J96" s="1373"/>
      <c r="K96" s="1375"/>
      <c r="L96" s="1512"/>
      <c r="M96" s="1373"/>
      <c r="N96" s="1373"/>
      <c r="O96" s="1375"/>
      <c r="P96" s="1514"/>
      <c r="Q96" s="1373"/>
      <c r="R96" s="1373"/>
      <c r="S96" s="1375"/>
    </row>
    <row r="97" spans="2:21" ht="36" outlineLevel="1" x14ac:dyDescent="0.35">
      <c r="B97" s="1507"/>
      <c r="C97" s="1508"/>
      <c r="D97" s="174" t="s">
        <v>367</v>
      </c>
      <c r="E97" s="174" t="s">
        <v>368</v>
      </c>
      <c r="F97" s="295" t="s">
        <v>369</v>
      </c>
      <c r="G97" s="637" t="s">
        <v>370</v>
      </c>
      <c r="H97" s="205" t="s">
        <v>367</v>
      </c>
      <c r="I97" s="174" t="s">
        <v>368</v>
      </c>
      <c r="J97" s="638" t="s">
        <v>369</v>
      </c>
      <c r="K97" s="175" t="s">
        <v>370</v>
      </c>
      <c r="L97" s="205" t="s">
        <v>367</v>
      </c>
      <c r="M97" s="174" t="s">
        <v>368</v>
      </c>
      <c r="N97" s="638" t="s">
        <v>369</v>
      </c>
      <c r="O97" s="175" t="s">
        <v>370</v>
      </c>
      <c r="P97" s="638" t="s">
        <v>367</v>
      </c>
      <c r="Q97" s="174" t="s">
        <v>368</v>
      </c>
      <c r="R97" s="295" t="s">
        <v>369</v>
      </c>
      <c r="S97" s="175" t="s">
        <v>370</v>
      </c>
    </row>
    <row r="98" spans="2:21" ht="16.5" customHeight="1" outlineLevel="1" x14ac:dyDescent="0.35">
      <c r="B98" s="1507"/>
      <c r="C98" s="1508"/>
      <c r="D98" s="1489" t="s">
        <v>277</v>
      </c>
      <c r="E98" s="1416">
        <v>7</v>
      </c>
      <c r="F98" s="1414" t="s">
        <v>521</v>
      </c>
      <c r="G98" s="1509" t="s">
        <v>509</v>
      </c>
      <c r="H98" s="1511" t="s">
        <v>277</v>
      </c>
      <c r="I98" s="1372">
        <v>7</v>
      </c>
      <c r="J98" s="1372" t="s">
        <v>521</v>
      </c>
      <c r="K98" s="1374" t="s">
        <v>501</v>
      </c>
      <c r="L98" s="1511" t="s">
        <v>277</v>
      </c>
      <c r="M98" s="1372">
        <v>7</v>
      </c>
      <c r="N98" s="1372" t="s">
        <v>521</v>
      </c>
      <c r="O98" s="1374" t="s">
        <v>493</v>
      </c>
      <c r="P98" s="1513"/>
      <c r="Q98" s="1372"/>
      <c r="R98" s="1372"/>
      <c r="S98" s="1374"/>
    </row>
    <row r="99" spans="2:21" ht="16.5" customHeight="1" outlineLevel="1" x14ac:dyDescent="0.35">
      <c r="B99" s="1507"/>
      <c r="C99" s="1485"/>
      <c r="D99" s="1490"/>
      <c r="E99" s="1417"/>
      <c r="F99" s="1415"/>
      <c r="G99" s="1510"/>
      <c r="H99" s="1512"/>
      <c r="I99" s="1373"/>
      <c r="J99" s="1373"/>
      <c r="K99" s="1375"/>
      <c r="L99" s="1512"/>
      <c r="M99" s="1373"/>
      <c r="N99" s="1373"/>
      <c r="O99" s="1375"/>
      <c r="P99" s="1514"/>
      <c r="Q99" s="1373"/>
      <c r="R99" s="1373"/>
      <c r="S99" s="1375"/>
    </row>
    <row r="100" spans="2:21" ht="15" thickBot="1" x14ac:dyDescent="0.4">
      <c r="B100" s="163"/>
      <c r="C100" s="317"/>
      <c r="D100" s="317"/>
      <c r="E100" s="317"/>
      <c r="F100" s="317"/>
      <c r="G100" s="317"/>
      <c r="H100" s="317"/>
      <c r="I100" s="317"/>
      <c r="J100" s="317"/>
      <c r="K100" s="317"/>
      <c r="L100" s="317"/>
      <c r="M100" s="317"/>
      <c r="N100" s="317"/>
      <c r="O100" s="317"/>
      <c r="P100" s="317"/>
      <c r="Q100" s="317"/>
      <c r="R100" s="317"/>
      <c r="S100" s="317"/>
      <c r="T100" s="317"/>
      <c r="U100" s="317"/>
    </row>
    <row r="101" spans="2:21" ht="15" thickBot="1" x14ac:dyDescent="0.4">
      <c r="B101" s="367"/>
      <c r="C101" s="736"/>
      <c r="D101" s="1406" t="s">
        <v>310</v>
      </c>
      <c r="E101" s="1407"/>
      <c r="F101" s="1407"/>
      <c r="G101" s="1408"/>
      <c r="H101" s="1422" t="s">
        <v>371</v>
      </c>
      <c r="I101" s="1370"/>
      <c r="J101" s="1370"/>
      <c r="K101" s="1371"/>
      <c r="L101" s="1422" t="s">
        <v>312</v>
      </c>
      <c r="M101" s="1370"/>
      <c r="N101" s="1370"/>
      <c r="O101" s="1371"/>
      <c r="P101" s="1369" t="s">
        <v>313</v>
      </c>
      <c r="Q101" s="1370"/>
      <c r="R101" s="1370"/>
      <c r="S101" s="1371"/>
    </row>
    <row r="102" spans="2:21" ht="33.75" customHeight="1" x14ac:dyDescent="0.35">
      <c r="B102" s="1515" t="s">
        <v>824</v>
      </c>
      <c r="C102" s="1518" t="s">
        <v>372</v>
      </c>
      <c r="D102" s="650" t="s">
        <v>373</v>
      </c>
      <c r="E102" s="222" t="s">
        <v>374</v>
      </c>
      <c r="F102" s="1361" t="s">
        <v>375</v>
      </c>
      <c r="G102" s="1391"/>
      <c r="H102" s="642" t="s">
        <v>373</v>
      </c>
      <c r="I102" s="222" t="s">
        <v>374</v>
      </c>
      <c r="J102" s="1361" t="s">
        <v>375</v>
      </c>
      <c r="K102" s="1362"/>
      <c r="L102" s="642" t="s">
        <v>373</v>
      </c>
      <c r="M102" s="222" t="s">
        <v>374</v>
      </c>
      <c r="N102" s="1361" t="s">
        <v>375</v>
      </c>
      <c r="O102" s="1362"/>
      <c r="P102" s="641" t="s">
        <v>373</v>
      </c>
      <c r="Q102" s="222" t="s">
        <v>374</v>
      </c>
      <c r="R102" s="1361" t="s">
        <v>375</v>
      </c>
      <c r="S102" s="1362"/>
    </row>
    <row r="103" spans="2:21" ht="21.75" customHeight="1" x14ac:dyDescent="0.35">
      <c r="B103" s="1516"/>
      <c r="C103" s="1519"/>
      <c r="D103" s="663">
        <v>0</v>
      </c>
      <c r="E103" s="224">
        <v>0</v>
      </c>
      <c r="F103" s="1412"/>
      <c r="G103" s="1445"/>
      <c r="H103" s="663">
        <v>1140</v>
      </c>
      <c r="I103" s="226">
        <v>0.5</v>
      </c>
      <c r="J103" s="1376"/>
      <c r="K103" s="1520"/>
      <c r="L103" s="663">
        <v>22867</v>
      </c>
      <c r="M103" s="226">
        <v>0.5</v>
      </c>
      <c r="N103" s="1376" t="s">
        <v>471</v>
      </c>
      <c r="O103" s="1520"/>
      <c r="P103" s="661"/>
      <c r="Q103" s="226"/>
      <c r="R103" s="1376"/>
      <c r="S103" s="1377"/>
    </row>
    <row r="104" spans="2:21" ht="40.5" customHeight="1" x14ac:dyDescent="0.35">
      <c r="B104" s="1516"/>
      <c r="C104" s="1521" t="s">
        <v>376</v>
      </c>
      <c r="D104" s="664" t="s">
        <v>373</v>
      </c>
      <c r="E104" s="174" t="s">
        <v>374</v>
      </c>
      <c r="F104" s="174" t="s">
        <v>377</v>
      </c>
      <c r="G104" s="649" t="s">
        <v>378</v>
      </c>
      <c r="H104" s="695" t="s">
        <v>373</v>
      </c>
      <c r="I104" s="174" t="s">
        <v>374</v>
      </c>
      <c r="J104" s="174" t="s">
        <v>377</v>
      </c>
      <c r="K104" s="645" t="s">
        <v>378</v>
      </c>
      <c r="L104" s="695" t="s">
        <v>373</v>
      </c>
      <c r="M104" s="174" t="s">
        <v>374</v>
      </c>
      <c r="N104" s="174" t="s">
        <v>377</v>
      </c>
      <c r="O104" s="645" t="s">
        <v>378</v>
      </c>
      <c r="P104" s="660" t="s">
        <v>373</v>
      </c>
      <c r="Q104" s="174" t="s">
        <v>374</v>
      </c>
      <c r="R104" s="174" t="s">
        <v>377</v>
      </c>
      <c r="S104" s="288" t="s">
        <v>378</v>
      </c>
    </row>
    <row r="105" spans="2:21" ht="21.75" customHeight="1" x14ac:dyDescent="0.35">
      <c r="B105" s="1516"/>
      <c r="C105" s="1522"/>
      <c r="D105" s="665"/>
      <c r="E105" s="194"/>
      <c r="F105" s="208"/>
      <c r="G105" s="675"/>
      <c r="H105" s="663"/>
      <c r="I105" s="192"/>
      <c r="J105" s="210"/>
      <c r="K105" s="220" t="s">
        <v>430</v>
      </c>
      <c r="L105" s="665">
        <v>25154</v>
      </c>
      <c r="M105" s="194">
        <v>0.5</v>
      </c>
      <c r="N105" s="210" t="s">
        <v>572</v>
      </c>
      <c r="O105" s="220" t="s">
        <v>430</v>
      </c>
      <c r="P105" s="661"/>
      <c r="Q105" s="194"/>
      <c r="R105" s="210"/>
      <c r="S105" s="220"/>
    </row>
    <row r="106" spans="2:21" ht="27.75" customHeight="1" outlineLevel="1" x14ac:dyDescent="0.35">
      <c r="B106" s="1516"/>
      <c r="C106" s="1522"/>
      <c r="D106" s="664" t="s">
        <v>373</v>
      </c>
      <c r="E106" s="174" t="s">
        <v>374</v>
      </c>
      <c r="F106" s="174" t="s">
        <v>377</v>
      </c>
      <c r="G106" s="649" t="s">
        <v>378</v>
      </c>
      <c r="H106" s="695" t="s">
        <v>373</v>
      </c>
      <c r="I106" s="174" t="s">
        <v>374</v>
      </c>
      <c r="J106" s="174" t="s">
        <v>377</v>
      </c>
      <c r="K106" s="645" t="s">
        <v>378</v>
      </c>
      <c r="L106" s="695" t="s">
        <v>373</v>
      </c>
      <c r="M106" s="174" t="s">
        <v>374</v>
      </c>
      <c r="N106" s="174" t="s">
        <v>377</v>
      </c>
      <c r="O106" s="645" t="s">
        <v>378</v>
      </c>
      <c r="P106" s="660" t="s">
        <v>373</v>
      </c>
      <c r="Q106" s="174" t="s">
        <v>374</v>
      </c>
      <c r="R106" s="174" t="s">
        <v>377</v>
      </c>
      <c r="S106" s="288" t="s">
        <v>378</v>
      </c>
    </row>
    <row r="107" spans="2:21" ht="19.5" customHeight="1" outlineLevel="1" x14ac:dyDescent="0.35">
      <c r="B107" s="1516"/>
      <c r="C107" s="1522"/>
      <c r="D107" s="665"/>
      <c r="E107" s="194"/>
      <c r="F107" s="208"/>
      <c r="G107" s="675"/>
      <c r="H107" s="665"/>
      <c r="I107" s="194"/>
      <c r="J107" s="210"/>
      <c r="K107" s="220" t="s">
        <v>479</v>
      </c>
      <c r="L107" s="665"/>
      <c r="M107" s="194"/>
      <c r="N107" s="210"/>
      <c r="O107" s="220" t="s">
        <v>479</v>
      </c>
      <c r="P107" s="661"/>
      <c r="Q107" s="194"/>
      <c r="R107" s="210"/>
      <c r="S107" s="220"/>
    </row>
    <row r="108" spans="2:21" ht="27.75" customHeight="1" outlineLevel="1" x14ac:dyDescent="0.35">
      <c r="B108" s="1516"/>
      <c r="C108" s="1522"/>
      <c r="D108" s="664" t="s">
        <v>373</v>
      </c>
      <c r="E108" s="174" t="s">
        <v>374</v>
      </c>
      <c r="F108" s="174" t="s">
        <v>377</v>
      </c>
      <c r="G108" s="649" t="s">
        <v>378</v>
      </c>
      <c r="H108" s="695" t="s">
        <v>373</v>
      </c>
      <c r="I108" s="174" t="s">
        <v>374</v>
      </c>
      <c r="J108" s="174" t="s">
        <v>377</v>
      </c>
      <c r="K108" s="645" t="s">
        <v>378</v>
      </c>
      <c r="L108" s="695" t="s">
        <v>373</v>
      </c>
      <c r="M108" s="174" t="s">
        <v>374</v>
      </c>
      <c r="N108" s="174" t="s">
        <v>377</v>
      </c>
      <c r="O108" s="645" t="s">
        <v>378</v>
      </c>
      <c r="P108" s="660" t="s">
        <v>373</v>
      </c>
      <c r="Q108" s="174" t="s">
        <v>374</v>
      </c>
      <c r="R108" s="174" t="s">
        <v>377</v>
      </c>
      <c r="S108" s="288" t="s">
        <v>378</v>
      </c>
    </row>
    <row r="109" spans="2:21" ht="21.75" customHeight="1" outlineLevel="1" x14ac:dyDescent="0.35">
      <c r="B109" s="1516"/>
      <c r="C109" s="1522"/>
      <c r="D109" s="665"/>
      <c r="E109" s="194"/>
      <c r="F109" s="208"/>
      <c r="G109" s="675"/>
      <c r="H109" s="663"/>
      <c r="I109" s="194"/>
      <c r="J109" s="210"/>
      <c r="K109" s="220" t="s">
        <v>456</v>
      </c>
      <c r="L109" s="665"/>
      <c r="M109" s="194"/>
      <c r="N109" s="210"/>
      <c r="O109" s="220" t="s">
        <v>456</v>
      </c>
      <c r="P109" s="661"/>
      <c r="Q109" s="194"/>
      <c r="R109" s="210"/>
      <c r="S109" s="220"/>
    </row>
    <row r="110" spans="2:21" ht="27.75" customHeight="1" outlineLevel="1" x14ac:dyDescent="0.35">
      <c r="B110" s="1516"/>
      <c r="C110" s="1522"/>
      <c r="D110" s="664" t="s">
        <v>373</v>
      </c>
      <c r="E110" s="174" t="s">
        <v>374</v>
      </c>
      <c r="F110" s="174" t="s">
        <v>377</v>
      </c>
      <c r="G110" s="649" t="s">
        <v>378</v>
      </c>
      <c r="H110" s="695" t="s">
        <v>373</v>
      </c>
      <c r="I110" s="174" t="s">
        <v>374</v>
      </c>
      <c r="J110" s="174" t="s">
        <v>377</v>
      </c>
      <c r="K110" s="645" t="s">
        <v>378</v>
      </c>
      <c r="L110" s="695" t="s">
        <v>373</v>
      </c>
      <c r="M110" s="174" t="s">
        <v>374</v>
      </c>
      <c r="N110" s="174" t="s">
        <v>377</v>
      </c>
      <c r="O110" s="645" t="s">
        <v>378</v>
      </c>
      <c r="P110" s="660" t="s">
        <v>373</v>
      </c>
      <c r="Q110" s="174" t="s">
        <v>374</v>
      </c>
      <c r="R110" s="174" t="s">
        <v>377</v>
      </c>
      <c r="S110" s="288" t="s">
        <v>378</v>
      </c>
    </row>
    <row r="111" spans="2:21" ht="21.75" customHeight="1" outlineLevel="1" x14ac:dyDescent="0.35">
      <c r="B111" s="1517"/>
      <c r="C111" s="1523"/>
      <c r="D111" s="665"/>
      <c r="E111" s="194"/>
      <c r="F111" s="208"/>
      <c r="G111" s="675"/>
      <c r="H111" s="663"/>
      <c r="I111" s="194"/>
      <c r="J111" s="210"/>
      <c r="K111" s="220" t="s">
        <v>470</v>
      </c>
      <c r="L111" s="665"/>
      <c r="M111" s="194"/>
      <c r="N111" s="210"/>
      <c r="O111" s="220" t="s">
        <v>470</v>
      </c>
      <c r="P111" s="661"/>
      <c r="Q111" s="194"/>
      <c r="R111" s="210"/>
      <c r="S111" s="220"/>
    </row>
    <row r="112" spans="2:21" ht="30" customHeight="1" x14ac:dyDescent="0.35">
      <c r="B112" s="1401" t="s">
        <v>379</v>
      </c>
      <c r="C112" s="1528" t="s">
        <v>380</v>
      </c>
      <c r="D112" s="666" t="s">
        <v>381</v>
      </c>
      <c r="E112" s="228" t="s">
        <v>382</v>
      </c>
      <c r="F112" s="228" t="s">
        <v>309</v>
      </c>
      <c r="G112" s="676" t="s">
        <v>383</v>
      </c>
      <c r="H112" s="666" t="s">
        <v>381</v>
      </c>
      <c r="I112" s="228" t="s">
        <v>382</v>
      </c>
      <c r="J112" s="228" t="s">
        <v>309</v>
      </c>
      <c r="K112" s="229" t="s">
        <v>383</v>
      </c>
      <c r="L112" s="666" t="s">
        <v>381</v>
      </c>
      <c r="M112" s="228" t="s">
        <v>382</v>
      </c>
      <c r="N112" s="228" t="s">
        <v>309</v>
      </c>
      <c r="O112" s="229" t="s">
        <v>383</v>
      </c>
      <c r="P112" s="230" t="s">
        <v>381</v>
      </c>
      <c r="Q112" s="228" t="s">
        <v>382</v>
      </c>
      <c r="R112" s="228" t="s">
        <v>309</v>
      </c>
      <c r="S112" s="229" t="s">
        <v>383</v>
      </c>
    </row>
    <row r="113" spans="2:19" ht="43.5" customHeight="1" x14ac:dyDescent="0.35">
      <c r="B113" s="1402"/>
      <c r="C113" s="1529"/>
      <c r="D113" s="667">
        <v>3</v>
      </c>
      <c r="E113" s="191" t="s">
        <v>451</v>
      </c>
      <c r="F113" s="191" t="s">
        <v>482</v>
      </c>
      <c r="G113" s="643" t="s">
        <v>542</v>
      </c>
      <c r="H113" s="691">
        <v>3</v>
      </c>
      <c r="I113" s="644" t="s">
        <v>451</v>
      </c>
      <c r="J113" s="644" t="s">
        <v>482</v>
      </c>
      <c r="K113" s="646" t="s">
        <v>542</v>
      </c>
      <c r="L113" s="691">
        <v>3</v>
      </c>
      <c r="M113" s="644" t="s">
        <v>451</v>
      </c>
      <c r="N113" s="644" t="s">
        <v>482</v>
      </c>
      <c r="O113" s="646" t="s">
        <v>542</v>
      </c>
      <c r="P113" s="644"/>
      <c r="Q113" s="193"/>
      <c r="R113" s="193"/>
      <c r="S113" s="214"/>
    </row>
    <row r="114" spans="2:19" ht="32.25" customHeight="1" x14ac:dyDescent="0.35">
      <c r="B114" s="1402"/>
      <c r="C114" s="1530" t="s">
        <v>831</v>
      </c>
      <c r="D114" s="668" t="s">
        <v>858</v>
      </c>
      <c r="E114" s="1365" t="s">
        <v>386</v>
      </c>
      <c r="F114" s="1366"/>
      <c r="G114" s="637" t="s">
        <v>387</v>
      </c>
      <c r="H114" s="205" t="s">
        <v>385</v>
      </c>
      <c r="I114" s="1365" t="s">
        <v>386</v>
      </c>
      <c r="J114" s="1366"/>
      <c r="K114" s="175" t="s">
        <v>387</v>
      </c>
      <c r="L114" s="205" t="s">
        <v>385</v>
      </c>
      <c r="M114" s="1365" t="s">
        <v>386</v>
      </c>
      <c r="N114" s="1366"/>
      <c r="O114" s="175" t="s">
        <v>387</v>
      </c>
      <c r="P114" s="638" t="s">
        <v>385</v>
      </c>
      <c r="Q114" s="174" t="s">
        <v>386</v>
      </c>
      <c r="R114" s="1365" t="s">
        <v>386</v>
      </c>
      <c r="S114" s="1366"/>
    </row>
    <row r="115" spans="2:19" ht="23.25" customHeight="1" x14ac:dyDescent="0.35">
      <c r="B115" s="1402"/>
      <c r="C115" s="1531"/>
      <c r="D115" s="669"/>
      <c r="E115" s="1389" t="s">
        <v>424</v>
      </c>
      <c r="F115" s="1390"/>
      <c r="G115" s="640"/>
      <c r="H115" s="696"/>
      <c r="I115" s="1367" t="s">
        <v>424</v>
      </c>
      <c r="J115" s="1368"/>
      <c r="K115" s="203"/>
      <c r="L115" s="696"/>
      <c r="M115" s="1367" t="s">
        <v>424</v>
      </c>
      <c r="N115" s="1368"/>
      <c r="O115" s="181"/>
      <c r="P115" s="662"/>
      <c r="Q115" s="179"/>
      <c r="R115" s="1367"/>
      <c r="S115" s="1368"/>
    </row>
    <row r="116" spans="2:19" ht="23.25" customHeight="1" outlineLevel="1" x14ac:dyDescent="0.35">
      <c r="B116" s="1402"/>
      <c r="C116" s="1531"/>
      <c r="D116" s="668" t="s">
        <v>858</v>
      </c>
      <c r="E116" s="1365" t="s">
        <v>386</v>
      </c>
      <c r="F116" s="1366"/>
      <c r="G116" s="637" t="s">
        <v>387</v>
      </c>
      <c r="H116" s="205" t="s">
        <v>385</v>
      </c>
      <c r="I116" s="1365" t="s">
        <v>386</v>
      </c>
      <c r="J116" s="1366"/>
      <c r="K116" s="175" t="s">
        <v>387</v>
      </c>
      <c r="L116" s="205" t="s">
        <v>385</v>
      </c>
      <c r="M116" s="1365" t="s">
        <v>386</v>
      </c>
      <c r="N116" s="1366"/>
      <c r="O116" s="175" t="s">
        <v>387</v>
      </c>
      <c r="P116" s="638" t="s">
        <v>385</v>
      </c>
      <c r="Q116" s="174" t="s">
        <v>386</v>
      </c>
      <c r="R116" s="1365" t="s">
        <v>386</v>
      </c>
      <c r="S116" s="1366"/>
    </row>
    <row r="117" spans="2:19" ht="23.25" customHeight="1" outlineLevel="1" x14ac:dyDescent="0.35">
      <c r="B117" s="1402"/>
      <c r="C117" s="1531"/>
      <c r="D117" s="669"/>
      <c r="E117" s="1389" t="s">
        <v>479</v>
      </c>
      <c r="F117" s="1390"/>
      <c r="G117" s="640"/>
      <c r="H117" s="696"/>
      <c r="I117" s="1367" t="s">
        <v>479</v>
      </c>
      <c r="J117" s="1368"/>
      <c r="K117" s="181"/>
      <c r="L117" s="696"/>
      <c r="M117" s="1367" t="s">
        <v>479</v>
      </c>
      <c r="N117" s="1368"/>
      <c r="O117" s="181"/>
      <c r="P117" s="662"/>
      <c r="Q117" s="179"/>
      <c r="R117" s="1367"/>
      <c r="S117" s="1368"/>
    </row>
    <row r="118" spans="2:19" ht="23.25" customHeight="1" outlineLevel="1" x14ac:dyDescent="0.35">
      <c r="B118" s="1402"/>
      <c r="C118" s="1531"/>
      <c r="D118" s="668" t="s">
        <v>858</v>
      </c>
      <c r="E118" s="1365" t="s">
        <v>386</v>
      </c>
      <c r="F118" s="1366"/>
      <c r="G118" s="637" t="s">
        <v>387</v>
      </c>
      <c r="H118" s="205" t="s">
        <v>385</v>
      </c>
      <c r="I118" s="1365" t="s">
        <v>386</v>
      </c>
      <c r="J118" s="1366"/>
      <c r="K118" s="175" t="s">
        <v>387</v>
      </c>
      <c r="L118" s="205" t="s">
        <v>385</v>
      </c>
      <c r="M118" s="1365" t="s">
        <v>386</v>
      </c>
      <c r="N118" s="1366"/>
      <c r="O118" s="175" t="s">
        <v>387</v>
      </c>
      <c r="P118" s="638" t="s">
        <v>385</v>
      </c>
      <c r="Q118" s="174" t="s">
        <v>386</v>
      </c>
      <c r="R118" s="1365" t="s">
        <v>386</v>
      </c>
      <c r="S118" s="1366"/>
    </row>
    <row r="119" spans="2:19" ht="23.25" customHeight="1" outlineLevel="1" x14ac:dyDescent="0.35">
      <c r="B119" s="1402"/>
      <c r="C119" s="1531"/>
      <c r="D119" s="669"/>
      <c r="E119" s="1389" t="s">
        <v>456</v>
      </c>
      <c r="F119" s="1390"/>
      <c r="G119" s="640"/>
      <c r="H119" s="696"/>
      <c r="I119" s="1367" t="s">
        <v>456</v>
      </c>
      <c r="J119" s="1368"/>
      <c r="K119" s="181"/>
      <c r="L119" s="696"/>
      <c r="M119" s="1367" t="s">
        <v>456</v>
      </c>
      <c r="N119" s="1368"/>
      <c r="O119" s="181"/>
      <c r="P119" s="662"/>
      <c r="Q119" s="179"/>
      <c r="R119" s="1367"/>
      <c r="S119" s="1368"/>
    </row>
    <row r="120" spans="2:19" ht="23.25" customHeight="1" outlineLevel="1" x14ac:dyDescent="0.35">
      <c r="B120" s="1402"/>
      <c r="C120" s="1531"/>
      <c r="D120" s="668" t="s">
        <v>858</v>
      </c>
      <c r="E120" s="1365" t="s">
        <v>386</v>
      </c>
      <c r="F120" s="1366"/>
      <c r="G120" s="637" t="s">
        <v>387</v>
      </c>
      <c r="H120" s="205" t="s">
        <v>385</v>
      </c>
      <c r="I120" s="1365" t="s">
        <v>386</v>
      </c>
      <c r="J120" s="1366"/>
      <c r="K120" s="175" t="s">
        <v>387</v>
      </c>
      <c r="L120" s="205" t="s">
        <v>385</v>
      </c>
      <c r="M120" s="1365" t="s">
        <v>386</v>
      </c>
      <c r="N120" s="1366"/>
      <c r="O120" s="175" t="s">
        <v>387</v>
      </c>
      <c r="P120" s="638" t="s">
        <v>385</v>
      </c>
      <c r="Q120" s="174" t="s">
        <v>386</v>
      </c>
      <c r="R120" s="1365" t="s">
        <v>386</v>
      </c>
      <c r="S120" s="1366"/>
    </row>
    <row r="121" spans="2:19" ht="23.25" customHeight="1" outlineLevel="1" thickBot="1" x14ac:dyDescent="0.4">
      <c r="B121" s="1403"/>
      <c r="C121" s="1532"/>
      <c r="D121" s="670"/>
      <c r="E121" s="1524" t="s">
        <v>470</v>
      </c>
      <c r="F121" s="1525"/>
      <c r="G121" s="677"/>
      <c r="H121" s="697"/>
      <c r="I121" s="1526" t="s">
        <v>470</v>
      </c>
      <c r="J121" s="1527"/>
      <c r="K121" s="698"/>
      <c r="L121" s="697"/>
      <c r="M121" s="1526" t="s">
        <v>470</v>
      </c>
      <c r="N121" s="1527"/>
      <c r="O121" s="698"/>
      <c r="P121" s="662"/>
      <c r="Q121" s="179"/>
      <c r="R121" s="1367"/>
      <c r="S121" s="1368"/>
    </row>
    <row r="122" spans="2:19" x14ac:dyDescent="0.35">
      <c r="B122" s="163"/>
      <c r="C122" s="317"/>
    </row>
    <row r="123" spans="2:19" ht="15" hidden="1" thickBot="1" x14ac:dyDescent="0.4">
      <c r="B123" s="163"/>
      <c r="C123" s="317"/>
      <c r="D123" s="1406" t="s">
        <v>310</v>
      </c>
      <c r="E123" s="1407"/>
      <c r="F123" s="1407"/>
      <c r="G123" s="1408"/>
      <c r="H123" s="1406" t="s">
        <v>311</v>
      </c>
      <c r="I123" s="1407"/>
      <c r="J123" s="1407"/>
      <c r="K123" s="1408"/>
      <c r="L123" s="1407" t="s">
        <v>312</v>
      </c>
      <c r="M123" s="1407"/>
      <c r="N123" s="1407"/>
      <c r="O123" s="1407"/>
      <c r="P123" s="1406" t="s">
        <v>313</v>
      </c>
      <c r="Q123" s="1407"/>
      <c r="R123" s="1407"/>
      <c r="S123" s="1408"/>
    </row>
    <row r="124" spans="2:19" hidden="1" x14ac:dyDescent="0.35">
      <c r="B124" s="1477" t="s">
        <v>825</v>
      </c>
      <c r="C124" s="1486" t="s">
        <v>388</v>
      </c>
      <c r="D124" s="1361" t="s">
        <v>389</v>
      </c>
      <c r="E124" s="1391"/>
      <c r="F124" s="1391"/>
      <c r="G124" s="1362"/>
      <c r="H124" s="1361" t="s">
        <v>389</v>
      </c>
      <c r="I124" s="1391"/>
      <c r="J124" s="1391"/>
      <c r="K124" s="1362"/>
      <c r="L124" s="1361" t="s">
        <v>389</v>
      </c>
      <c r="M124" s="1391"/>
      <c r="N124" s="1391"/>
      <c r="O124" s="1362"/>
      <c r="P124" s="1361" t="s">
        <v>389</v>
      </c>
      <c r="Q124" s="1391"/>
      <c r="R124" s="1391"/>
      <c r="S124" s="1362"/>
    </row>
    <row r="125" spans="2:19" ht="45" hidden="1" customHeight="1" x14ac:dyDescent="0.35">
      <c r="B125" s="1479"/>
      <c r="C125" s="1488"/>
      <c r="D125" s="1392"/>
      <c r="E125" s="1393"/>
      <c r="F125" s="1393"/>
      <c r="G125" s="1394"/>
      <c r="H125" s="1395"/>
      <c r="I125" s="1396"/>
      <c r="J125" s="1396"/>
      <c r="K125" s="1397"/>
      <c r="L125" s="1395"/>
      <c r="M125" s="1396"/>
      <c r="N125" s="1396"/>
      <c r="O125" s="1397"/>
      <c r="P125" s="1395"/>
      <c r="Q125" s="1396"/>
      <c r="R125" s="1396"/>
      <c r="S125" s="1397"/>
    </row>
    <row r="126" spans="2:19" ht="32.25" hidden="1" customHeight="1" x14ac:dyDescent="0.35">
      <c r="B126" s="1387" t="s">
        <v>390</v>
      </c>
      <c r="C126" s="1484" t="s">
        <v>391</v>
      </c>
      <c r="D126" s="228" t="s">
        <v>392</v>
      </c>
      <c r="E126" s="287" t="s">
        <v>309</v>
      </c>
      <c r="F126" s="174" t="s">
        <v>330</v>
      </c>
      <c r="G126" s="175" t="s">
        <v>346</v>
      </c>
      <c r="H126" s="228" t="s">
        <v>392</v>
      </c>
      <c r="I126" s="287" t="s">
        <v>309</v>
      </c>
      <c r="J126" s="174" t="s">
        <v>330</v>
      </c>
      <c r="K126" s="175" t="s">
        <v>346</v>
      </c>
      <c r="L126" s="228" t="s">
        <v>392</v>
      </c>
      <c r="M126" s="287" t="s">
        <v>309</v>
      </c>
      <c r="N126" s="174" t="s">
        <v>330</v>
      </c>
      <c r="O126" s="175" t="s">
        <v>346</v>
      </c>
      <c r="P126" s="228" t="s">
        <v>392</v>
      </c>
      <c r="Q126" s="287" t="s">
        <v>309</v>
      </c>
      <c r="R126" s="174" t="s">
        <v>330</v>
      </c>
      <c r="S126" s="175" t="s">
        <v>346</v>
      </c>
    </row>
    <row r="127" spans="2:19" ht="23.25" hidden="1" customHeight="1" x14ac:dyDescent="0.35">
      <c r="B127" s="1398"/>
      <c r="C127" s="1485"/>
      <c r="D127" s="326"/>
      <c r="E127" s="233"/>
      <c r="F127" s="177"/>
      <c r="G127" s="212"/>
      <c r="H127" s="193"/>
      <c r="I127" s="245"/>
      <c r="J127" s="193"/>
      <c r="K127" s="290"/>
      <c r="L127" s="193"/>
      <c r="M127" s="245"/>
      <c r="N127" s="193"/>
      <c r="O127" s="290"/>
      <c r="P127" s="193"/>
      <c r="Q127" s="245"/>
      <c r="R127" s="193"/>
      <c r="S127" s="290"/>
    </row>
    <row r="128" spans="2:19" ht="29.25" hidden="1" customHeight="1" x14ac:dyDescent="0.35">
      <c r="B128" s="1398"/>
      <c r="C128" s="1484" t="s">
        <v>393</v>
      </c>
      <c r="D128" s="174" t="s">
        <v>394</v>
      </c>
      <c r="E128" s="1365" t="s">
        <v>395</v>
      </c>
      <c r="F128" s="1366"/>
      <c r="G128" s="175" t="s">
        <v>396</v>
      </c>
      <c r="H128" s="174" t="s">
        <v>394</v>
      </c>
      <c r="I128" s="1365" t="s">
        <v>395</v>
      </c>
      <c r="J128" s="1366"/>
      <c r="K128" s="175" t="s">
        <v>396</v>
      </c>
      <c r="L128" s="174" t="s">
        <v>394</v>
      </c>
      <c r="M128" s="1365" t="s">
        <v>395</v>
      </c>
      <c r="N128" s="1366"/>
      <c r="O128" s="175" t="s">
        <v>396</v>
      </c>
      <c r="P128" s="174" t="s">
        <v>394</v>
      </c>
      <c r="Q128" s="1365" t="s">
        <v>395</v>
      </c>
      <c r="R128" s="1366"/>
      <c r="S128" s="175" t="s">
        <v>396</v>
      </c>
    </row>
    <row r="129" spans="2:19" ht="39" hidden="1" customHeight="1" x14ac:dyDescent="0.35">
      <c r="B129" s="1388"/>
      <c r="C129" s="1485"/>
      <c r="D129" s="231"/>
      <c r="E129" s="1389"/>
      <c r="F129" s="1390"/>
      <c r="G129" s="178"/>
      <c r="H129" s="232"/>
      <c r="I129" s="1367"/>
      <c r="J129" s="1368"/>
      <c r="K129" s="181"/>
      <c r="L129" s="232"/>
      <c r="M129" s="1367"/>
      <c r="N129" s="1368"/>
      <c r="O129" s="181"/>
      <c r="P129" s="232"/>
      <c r="Q129" s="1367"/>
      <c r="R129" s="1368"/>
      <c r="S129" s="181"/>
    </row>
    <row r="133" spans="2:19" hidden="1" x14ac:dyDescent="0.35"/>
    <row r="134" spans="2:19" hidden="1" x14ac:dyDescent="0.35"/>
    <row r="135" spans="2:19" ht="29" hidden="1" x14ac:dyDescent="0.35">
      <c r="D135" s="237" t="s">
        <v>397</v>
      </c>
    </row>
    <row r="136" spans="2:19" hidden="1" x14ac:dyDescent="0.35">
      <c r="D136" s="237" t="s">
        <v>398</v>
      </c>
      <c r="E136" s="143" t="s">
        <v>399</v>
      </c>
      <c r="F136" s="143" t="s">
        <v>400</v>
      </c>
      <c r="H136" s="143" t="s">
        <v>401</v>
      </c>
      <c r="I136" s="143" t="s">
        <v>402</v>
      </c>
    </row>
    <row r="137" spans="2:19" hidden="1" x14ac:dyDescent="0.35">
      <c r="D137" s="237" t="s">
        <v>403</v>
      </c>
      <c r="E137" s="143" t="s">
        <v>404</v>
      </c>
      <c r="F137" s="143" t="s">
        <v>405</v>
      </c>
      <c r="H137" s="143" t="s">
        <v>406</v>
      </c>
      <c r="I137" s="143" t="s">
        <v>407</v>
      </c>
    </row>
    <row r="138" spans="2:19" hidden="1" x14ac:dyDescent="0.35">
      <c r="D138" s="237" t="s">
        <v>408</v>
      </c>
      <c r="E138" s="143" t="s">
        <v>409</v>
      </c>
      <c r="F138" s="143" t="s">
        <v>410</v>
      </c>
      <c r="H138" s="143" t="s">
        <v>411</v>
      </c>
      <c r="I138" s="143" t="s">
        <v>412</v>
      </c>
    </row>
    <row r="139" spans="2:19" hidden="1" x14ac:dyDescent="0.35">
      <c r="D139" s="237" t="s">
        <v>413</v>
      </c>
      <c r="F139" s="143" t="s">
        <v>414</v>
      </c>
      <c r="G139" s="143" t="s">
        <v>415</v>
      </c>
      <c r="H139" s="143" t="s">
        <v>416</v>
      </c>
      <c r="I139" s="143" t="s">
        <v>417</v>
      </c>
      <c r="K139" s="143" t="s">
        <v>418</v>
      </c>
    </row>
    <row r="140" spans="2:19" hidden="1" x14ac:dyDescent="0.35">
      <c r="D140" s="237" t="s">
        <v>419</v>
      </c>
      <c r="F140" s="143" t="s">
        <v>420</v>
      </c>
      <c r="G140" s="143" t="s">
        <v>421</v>
      </c>
      <c r="H140" s="143" t="s">
        <v>422</v>
      </c>
      <c r="I140" s="143" t="s">
        <v>423</v>
      </c>
      <c r="K140" s="143" t="s">
        <v>424</v>
      </c>
      <c r="L140" s="143" t="s">
        <v>425</v>
      </c>
    </row>
    <row r="141" spans="2:19" hidden="1" x14ac:dyDescent="0.35">
      <c r="D141" s="237" t="s">
        <v>426</v>
      </c>
      <c r="E141" s="234" t="s">
        <v>427</v>
      </c>
      <c r="G141" s="143" t="s">
        <v>428</v>
      </c>
      <c r="H141" s="143" t="s">
        <v>429</v>
      </c>
      <c r="K141" s="143" t="s">
        <v>430</v>
      </c>
      <c r="L141" s="143" t="s">
        <v>431</v>
      </c>
    </row>
    <row r="142" spans="2:19" hidden="1" x14ac:dyDescent="0.35">
      <c r="D142" s="237" t="s">
        <v>432</v>
      </c>
      <c r="E142" s="235" t="s">
        <v>433</v>
      </c>
      <c r="K142" s="143" t="s">
        <v>434</v>
      </c>
      <c r="L142" s="143" t="s">
        <v>435</v>
      </c>
    </row>
    <row r="143" spans="2:19" hidden="1" x14ac:dyDescent="0.35">
      <c r="E143" s="236" t="s">
        <v>436</v>
      </c>
      <c r="H143" s="143" t="s">
        <v>437</v>
      </c>
      <c r="K143" s="143" t="s">
        <v>438</v>
      </c>
      <c r="L143" s="143" t="s">
        <v>439</v>
      </c>
    </row>
    <row r="144" spans="2:19" hidden="1" x14ac:dyDescent="0.35">
      <c r="H144" s="143" t="s">
        <v>440</v>
      </c>
      <c r="K144" s="143" t="s">
        <v>441</v>
      </c>
      <c r="L144" s="143" t="s">
        <v>442</v>
      </c>
    </row>
    <row r="145" spans="2:12" hidden="1" x14ac:dyDescent="0.35">
      <c r="H145" s="143" t="s">
        <v>443</v>
      </c>
      <c r="K145" s="143" t="s">
        <v>444</v>
      </c>
      <c r="L145" s="143" t="s">
        <v>445</v>
      </c>
    </row>
    <row r="146" spans="2:12" hidden="1" x14ac:dyDescent="0.35">
      <c r="B146" s="143" t="s">
        <v>446</v>
      </c>
      <c r="C146" s="313" t="s">
        <v>447</v>
      </c>
      <c r="D146" s="237" t="s">
        <v>446</v>
      </c>
      <c r="G146" s="143" t="s">
        <v>448</v>
      </c>
      <c r="H146" s="143" t="s">
        <v>449</v>
      </c>
      <c r="J146" s="143" t="s">
        <v>277</v>
      </c>
      <c r="K146" s="143" t="s">
        <v>450</v>
      </c>
      <c r="L146" s="143" t="s">
        <v>451</v>
      </c>
    </row>
    <row r="147" spans="2:12" hidden="1" x14ac:dyDescent="0.35">
      <c r="B147" s="143">
        <v>1</v>
      </c>
      <c r="C147" s="313" t="s">
        <v>452</v>
      </c>
      <c r="D147" s="237" t="s">
        <v>453</v>
      </c>
      <c r="E147" s="143" t="s">
        <v>346</v>
      </c>
      <c r="F147" s="143" t="s">
        <v>11</v>
      </c>
      <c r="G147" s="143" t="s">
        <v>454</v>
      </c>
      <c r="H147" s="143" t="s">
        <v>455</v>
      </c>
      <c r="J147" s="143" t="s">
        <v>430</v>
      </c>
      <c r="K147" s="143" t="s">
        <v>456</v>
      </c>
    </row>
    <row r="148" spans="2:12" hidden="1" x14ac:dyDescent="0.35">
      <c r="B148" s="143">
        <v>2</v>
      </c>
      <c r="C148" s="313" t="s">
        <v>457</v>
      </c>
      <c r="D148" s="237" t="s">
        <v>458</v>
      </c>
      <c r="E148" s="143" t="s">
        <v>330</v>
      </c>
      <c r="F148" s="143" t="s">
        <v>18</v>
      </c>
      <c r="G148" s="143" t="s">
        <v>459</v>
      </c>
      <c r="J148" s="143" t="s">
        <v>460</v>
      </c>
      <c r="K148" s="143" t="s">
        <v>461</v>
      </c>
    </row>
    <row r="149" spans="2:12" hidden="1" x14ac:dyDescent="0.35">
      <c r="B149" s="143">
        <v>3</v>
      </c>
      <c r="C149" s="313" t="s">
        <v>462</v>
      </c>
      <c r="D149" s="237" t="s">
        <v>463</v>
      </c>
      <c r="E149" s="143" t="s">
        <v>309</v>
      </c>
      <c r="G149" s="143" t="s">
        <v>464</v>
      </c>
      <c r="J149" s="143" t="s">
        <v>465</v>
      </c>
      <c r="K149" s="143" t="s">
        <v>466</v>
      </c>
    </row>
    <row r="150" spans="2:12" hidden="1" x14ac:dyDescent="0.35">
      <c r="B150" s="143">
        <v>4</v>
      </c>
      <c r="C150" s="313" t="s">
        <v>455</v>
      </c>
      <c r="H150" s="143" t="s">
        <v>467</v>
      </c>
      <c r="I150" s="143" t="s">
        <v>468</v>
      </c>
      <c r="J150" s="143" t="s">
        <v>469</v>
      </c>
      <c r="K150" s="143" t="s">
        <v>470</v>
      </c>
    </row>
    <row r="151" spans="2:12" hidden="1" x14ac:dyDescent="0.35">
      <c r="D151" s="237" t="s">
        <v>464</v>
      </c>
      <c r="H151" s="143" t="s">
        <v>471</v>
      </c>
      <c r="I151" s="143" t="s">
        <v>472</v>
      </c>
      <c r="J151" s="143" t="s">
        <v>473</v>
      </c>
      <c r="K151" s="143" t="s">
        <v>474</v>
      </c>
    </row>
    <row r="152" spans="2:12" hidden="1" x14ac:dyDescent="0.35">
      <c r="D152" s="237" t="s">
        <v>475</v>
      </c>
      <c r="H152" s="143" t="s">
        <v>476</v>
      </c>
      <c r="I152" s="143" t="s">
        <v>477</v>
      </c>
      <c r="J152" s="143" t="s">
        <v>478</v>
      </c>
      <c r="K152" s="143" t="s">
        <v>479</v>
      </c>
    </row>
    <row r="153" spans="2:12" hidden="1" x14ac:dyDescent="0.35">
      <c r="D153" s="237" t="s">
        <v>480</v>
      </c>
      <c r="H153" s="143" t="s">
        <v>481</v>
      </c>
      <c r="J153" s="143" t="s">
        <v>482</v>
      </c>
      <c r="K153" s="143" t="s">
        <v>483</v>
      </c>
    </row>
    <row r="154" spans="2:12" hidden="1" x14ac:dyDescent="0.35">
      <c r="H154" s="143" t="s">
        <v>484</v>
      </c>
      <c r="J154" s="143" t="s">
        <v>485</v>
      </c>
    </row>
    <row r="155" spans="2:12" ht="101.5" hidden="1" x14ac:dyDescent="0.35">
      <c r="D155" s="237" t="s">
        <v>486</v>
      </c>
      <c r="E155" s="143" t="s">
        <v>487</v>
      </c>
      <c r="F155" s="143" t="s">
        <v>488</v>
      </c>
      <c r="G155" s="143" t="s">
        <v>489</v>
      </c>
      <c r="H155" s="143" t="s">
        <v>490</v>
      </c>
      <c r="I155" s="143" t="s">
        <v>491</v>
      </c>
      <c r="J155" s="143" t="s">
        <v>492</v>
      </c>
      <c r="K155" s="143" t="s">
        <v>493</v>
      </c>
    </row>
    <row r="156" spans="2:12" ht="130.5" hidden="1" x14ac:dyDescent="0.35">
      <c r="B156" s="143" t="s">
        <v>596</v>
      </c>
      <c r="C156" s="313" t="s">
        <v>595</v>
      </c>
      <c r="D156" s="237" t="s">
        <v>494</v>
      </c>
      <c r="E156" s="143" t="s">
        <v>495</v>
      </c>
      <c r="F156" s="143" t="s">
        <v>496</v>
      </c>
      <c r="G156" s="143" t="s">
        <v>497</v>
      </c>
      <c r="H156" s="143" t="s">
        <v>498</v>
      </c>
      <c r="I156" s="143" t="s">
        <v>499</v>
      </c>
      <c r="J156" s="143" t="s">
        <v>500</v>
      </c>
      <c r="K156" s="143" t="s">
        <v>501</v>
      </c>
    </row>
    <row r="157" spans="2:12" ht="72.5" hidden="1" x14ac:dyDescent="0.35">
      <c r="B157" s="143" t="s">
        <v>597</v>
      </c>
      <c r="C157" s="313" t="s">
        <v>594</v>
      </c>
      <c r="D157" s="237" t="s">
        <v>502</v>
      </c>
      <c r="E157" s="143" t="s">
        <v>503</v>
      </c>
      <c r="F157" s="143" t="s">
        <v>504</v>
      </c>
      <c r="G157" s="143" t="s">
        <v>505</v>
      </c>
      <c r="H157" s="143" t="s">
        <v>506</v>
      </c>
      <c r="I157" s="143" t="s">
        <v>507</v>
      </c>
      <c r="J157" s="143" t="s">
        <v>508</v>
      </c>
      <c r="K157" s="143" t="s">
        <v>509</v>
      </c>
    </row>
    <row r="158" spans="2:12" hidden="1" x14ac:dyDescent="0.35">
      <c r="B158" s="143" t="s">
        <v>598</v>
      </c>
      <c r="C158" s="313" t="s">
        <v>593</v>
      </c>
      <c r="F158" s="143" t="s">
        <v>510</v>
      </c>
      <c r="G158" s="143" t="s">
        <v>511</v>
      </c>
      <c r="H158" s="143" t="s">
        <v>512</v>
      </c>
      <c r="I158" s="143" t="s">
        <v>513</v>
      </c>
      <c r="J158" s="143" t="s">
        <v>514</v>
      </c>
      <c r="K158" s="143" t="s">
        <v>515</v>
      </c>
    </row>
    <row r="159" spans="2:12" hidden="1" x14ac:dyDescent="0.35">
      <c r="B159" s="143" t="s">
        <v>599</v>
      </c>
      <c r="G159" s="143" t="s">
        <v>516</v>
      </c>
      <c r="H159" s="143" t="s">
        <v>517</v>
      </c>
      <c r="I159" s="143" t="s">
        <v>518</v>
      </c>
      <c r="J159" s="143" t="s">
        <v>519</v>
      </c>
      <c r="K159" s="143" t="s">
        <v>520</v>
      </c>
    </row>
    <row r="160" spans="2:12" hidden="1" x14ac:dyDescent="0.35">
      <c r="C160" s="313" t="s">
        <v>521</v>
      </c>
      <c r="J160" s="143" t="s">
        <v>522</v>
      </c>
    </row>
    <row r="161" spans="2:10" hidden="1" x14ac:dyDescent="0.35">
      <c r="C161" s="313" t="s">
        <v>523</v>
      </c>
      <c r="I161" s="143" t="s">
        <v>524</v>
      </c>
      <c r="J161" s="143" t="s">
        <v>525</v>
      </c>
    </row>
    <row r="162" spans="2:10" hidden="1" x14ac:dyDescent="0.35">
      <c r="B162" s="246" t="s">
        <v>600</v>
      </c>
      <c r="C162" s="313" t="s">
        <v>526</v>
      </c>
      <c r="I162" s="143" t="s">
        <v>527</v>
      </c>
      <c r="J162" s="143" t="s">
        <v>528</v>
      </c>
    </row>
    <row r="163" spans="2:10" hidden="1" x14ac:dyDescent="0.35">
      <c r="B163" s="246" t="s">
        <v>29</v>
      </c>
      <c r="C163" s="313" t="s">
        <v>529</v>
      </c>
      <c r="D163" s="237" t="s">
        <v>530</v>
      </c>
      <c r="E163" s="143" t="s">
        <v>531</v>
      </c>
      <c r="I163" s="143" t="s">
        <v>532</v>
      </c>
      <c r="J163" s="143" t="s">
        <v>277</v>
      </c>
    </row>
    <row r="164" spans="2:10" ht="29" hidden="1" x14ac:dyDescent="0.35">
      <c r="B164" s="246" t="s">
        <v>16</v>
      </c>
      <c r="D164" s="237" t="s">
        <v>533</v>
      </c>
      <c r="E164" s="143" t="s">
        <v>534</v>
      </c>
      <c r="H164" s="143" t="s">
        <v>406</v>
      </c>
      <c r="I164" s="143" t="s">
        <v>535</v>
      </c>
    </row>
    <row r="165" spans="2:10" ht="29" hidden="1" x14ac:dyDescent="0.35">
      <c r="B165" s="246" t="s">
        <v>34</v>
      </c>
      <c r="D165" s="237" t="s">
        <v>536</v>
      </c>
      <c r="E165" s="143" t="s">
        <v>537</v>
      </c>
      <c r="H165" s="143" t="s">
        <v>416</v>
      </c>
      <c r="I165" s="143" t="s">
        <v>538</v>
      </c>
      <c r="J165" s="143" t="s">
        <v>539</v>
      </c>
    </row>
    <row r="166" spans="2:10" hidden="1" x14ac:dyDescent="0.35">
      <c r="B166" s="246" t="s">
        <v>601</v>
      </c>
      <c r="C166" s="313" t="s">
        <v>540</v>
      </c>
      <c r="D166" s="237" t="s">
        <v>541</v>
      </c>
      <c r="H166" s="143" t="s">
        <v>422</v>
      </c>
      <c r="I166" s="143" t="s">
        <v>542</v>
      </c>
      <c r="J166" s="143" t="s">
        <v>543</v>
      </c>
    </row>
    <row r="167" spans="2:10" hidden="1" x14ac:dyDescent="0.35">
      <c r="B167" s="246" t="s">
        <v>602</v>
      </c>
      <c r="C167" s="313" t="s">
        <v>544</v>
      </c>
      <c r="H167" s="143" t="s">
        <v>429</v>
      </c>
      <c r="I167" s="143" t="s">
        <v>545</v>
      </c>
    </row>
    <row r="168" spans="2:10" hidden="1" x14ac:dyDescent="0.35">
      <c r="B168" s="246" t="s">
        <v>603</v>
      </c>
      <c r="C168" s="313" t="s">
        <v>546</v>
      </c>
      <c r="E168" s="143" t="s">
        <v>547</v>
      </c>
      <c r="H168" s="143" t="s">
        <v>548</v>
      </c>
      <c r="I168" s="143" t="s">
        <v>549</v>
      </c>
    </row>
    <row r="169" spans="2:10" hidden="1" x14ac:dyDescent="0.35">
      <c r="B169" s="246" t="s">
        <v>604</v>
      </c>
      <c r="C169" s="313" t="s">
        <v>550</v>
      </c>
      <c r="E169" s="143" t="s">
        <v>551</v>
      </c>
      <c r="H169" s="143" t="s">
        <v>552</v>
      </c>
      <c r="I169" s="143" t="s">
        <v>553</v>
      </c>
    </row>
    <row r="170" spans="2:10" hidden="1" x14ac:dyDescent="0.35">
      <c r="B170" s="246" t="s">
        <v>605</v>
      </c>
      <c r="C170" s="313" t="s">
        <v>554</v>
      </c>
      <c r="E170" s="143" t="s">
        <v>555</v>
      </c>
      <c r="H170" s="143" t="s">
        <v>556</v>
      </c>
      <c r="I170" s="143" t="s">
        <v>557</v>
      </c>
    </row>
    <row r="171" spans="2:10" hidden="1" x14ac:dyDescent="0.35">
      <c r="B171" s="246" t="s">
        <v>606</v>
      </c>
      <c r="C171" s="313" t="s">
        <v>558</v>
      </c>
      <c r="E171" s="143" t="s">
        <v>559</v>
      </c>
      <c r="H171" s="143" t="s">
        <v>560</v>
      </c>
      <c r="I171" s="143" t="s">
        <v>561</v>
      </c>
    </row>
    <row r="172" spans="2:10" hidden="1" x14ac:dyDescent="0.35">
      <c r="B172" s="246" t="s">
        <v>607</v>
      </c>
      <c r="C172" s="313" t="s">
        <v>562</v>
      </c>
      <c r="E172" s="143" t="s">
        <v>563</v>
      </c>
      <c r="H172" s="143" t="s">
        <v>564</v>
      </c>
      <c r="I172" s="143" t="s">
        <v>565</v>
      </c>
    </row>
    <row r="173" spans="2:10" hidden="1" x14ac:dyDescent="0.35">
      <c r="B173" s="246" t="s">
        <v>608</v>
      </c>
      <c r="C173" s="313" t="s">
        <v>277</v>
      </c>
      <c r="E173" s="143" t="s">
        <v>566</v>
      </c>
      <c r="H173" s="143" t="s">
        <v>567</v>
      </c>
      <c r="I173" s="143" t="s">
        <v>568</v>
      </c>
    </row>
    <row r="174" spans="2:10" hidden="1" x14ac:dyDescent="0.35">
      <c r="B174" s="246" t="s">
        <v>609</v>
      </c>
      <c r="E174" s="143" t="s">
        <v>569</v>
      </c>
      <c r="H174" s="143" t="s">
        <v>570</v>
      </c>
      <c r="I174" s="143" t="s">
        <v>571</v>
      </c>
    </row>
    <row r="175" spans="2:10" hidden="1" x14ac:dyDescent="0.35">
      <c r="B175" s="246" t="s">
        <v>610</v>
      </c>
      <c r="E175" s="143" t="s">
        <v>572</v>
      </c>
      <c r="H175" s="143" t="s">
        <v>573</v>
      </c>
      <c r="I175" s="143" t="s">
        <v>574</v>
      </c>
    </row>
    <row r="176" spans="2:10" hidden="1" x14ac:dyDescent="0.35">
      <c r="B176" s="246" t="s">
        <v>611</v>
      </c>
      <c r="E176" s="143" t="s">
        <v>575</v>
      </c>
      <c r="H176" s="143" t="s">
        <v>576</v>
      </c>
      <c r="I176" s="143" t="s">
        <v>577</v>
      </c>
    </row>
    <row r="177" spans="2:9" hidden="1" x14ac:dyDescent="0.35">
      <c r="B177" s="246" t="s">
        <v>612</v>
      </c>
      <c r="H177" s="143" t="s">
        <v>578</v>
      </c>
      <c r="I177" s="143" t="s">
        <v>579</v>
      </c>
    </row>
    <row r="178" spans="2:9" hidden="1" x14ac:dyDescent="0.35">
      <c r="B178" s="246" t="s">
        <v>613</v>
      </c>
      <c r="H178" s="143" t="s">
        <v>580</v>
      </c>
    </row>
    <row r="179" spans="2:9" hidden="1" x14ac:dyDescent="0.35">
      <c r="B179" s="246" t="s">
        <v>614</v>
      </c>
      <c r="H179" s="143" t="s">
        <v>581</v>
      </c>
    </row>
    <row r="180" spans="2:9" hidden="1" x14ac:dyDescent="0.35">
      <c r="B180" s="246" t="s">
        <v>615</v>
      </c>
      <c r="H180" s="143" t="s">
        <v>582</v>
      </c>
    </row>
    <row r="181" spans="2:9" hidden="1" x14ac:dyDescent="0.35">
      <c r="B181" s="246" t="s">
        <v>616</v>
      </c>
      <c r="H181" s="143" t="s">
        <v>583</v>
      </c>
    </row>
    <row r="182" spans="2:9" ht="72.5" hidden="1" x14ac:dyDescent="0.35">
      <c r="B182" s="246" t="s">
        <v>617</v>
      </c>
      <c r="D182" s="328" t="s">
        <v>584</v>
      </c>
      <c r="H182" s="143" t="s">
        <v>585</v>
      </c>
    </row>
    <row r="183" spans="2:9" hidden="1" x14ac:dyDescent="0.35">
      <c r="B183" s="246" t="s">
        <v>618</v>
      </c>
      <c r="D183" s="328" t="s">
        <v>586</v>
      </c>
      <c r="H183" s="143" t="s">
        <v>587</v>
      </c>
    </row>
    <row r="184" spans="2:9" ht="58" hidden="1" x14ac:dyDescent="0.35">
      <c r="B184" s="246" t="s">
        <v>619</v>
      </c>
      <c r="D184" s="328" t="s">
        <v>588</v>
      </c>
      <c r="H184" s="143" t="s">
        <v>589</v>
      </c>
    </row>
    <row r="185" spans="2:9" hidden="1" x14ac:dyDescent="0.35">
      <c r="B185" s="246" t="s">
        <v>620</v>
      </c>
      <c r="D185" s="328" t="s">
        <v>586</v>
      </c>
      <c r="H185" s="143" t="s">
        <v>590</v>
      </c>
    </row>
    <row r="186" spans="2:9" ht="101.5" hidden="1" x14ac:dyDescent="0.35">
      <c r="B186" s="246" t="s">
        <v>621</v>
      </c>
      <c r="D186" s="328" t="s">
        <v>591</v>
      </c>
    </row>
    <row r="187" spans="2:9" hidden="1" x14ac:dyDescent="0.35">
      <c r="B187" s="246" t="s">
        <v>622</v>
      </c>
      <c r="D187" s="328" t="s">
        <v>586</v>
      </c>
    </row>
    <row r="188" spans="2:9" hidden="1" x14ac:dyDescent="0.35">
      <c r="B188" s="246" t="s">
        <v>623</v>
      </c>
    </row>
    <row r="189" spans="2:9" hidden="1" x14ac:dyDescent="0.35">
      <c r="B189" s="246" t="s">
        <v>624</v>
      </c>
    </row>
    <row r="190" spans="2:9" hidden="1" x14ac:dyDescent="0.35">
      <c r="B190" s="246" t="s">
        <v>625</v>
      </c>
    </row>
    <row r="191" spans="2:9" hidden="1" x14ac:dyDescent="0.35">
      <c r="B191" s="246" t="s">
        <v>626</v>
      </c>
    </row>
    <row r="192" spans="2:9" hidden="1" x14ac:dyDescent="0.35">
      <c r="B192" s="246" t="s">
        <v>627</v>
      </c>
    </row>
    <row r="193" spans="2:2" hidden="1" x14ac:dyDescent="0.35">
      <c r="B193" s="246" t="s">
        <v>628</v>
      </c>
    </row>
    <row r="194" spans="2:2" hidden="1" x14ac:dyDescent="0.35">
      <c r="B194" s="246" t="s">
        <v>629</v>
      </c>
    </row>
    <row r="195" spans="2:2" hidden="1" x14ac:dyDescent="0.35">
      <c r="B195" s="246" t="s">
        <v>630</v>
      </c>
    </row>
    <row r="196" spans="2:2" hidden="1" x14ac:dyDescent="0.35">
      <c r="B196" s="246" t="s">
        <v>631</v>
      </c>
    </row>
    <row r="197" spans="2:2" hidden="1" x14ac:dyDescent="0.35">
      <c r="B197" s="246" t="s">
        <v>51</v>
      </c>
    </row>
    <row r="198" spans="2:2" hidden="1" x14ac:dyDescent="0.35">
      <c r="B198" s="246" t="s">
        <v>57</v>
      </c>
    </row>
    <row r="199" spans="2:2" hidden="1" x14ac:dyDescent="0.35">
      <c r="B199" s="246" t="s">
        <v>59</v>
      </c>
    </row>
    <row r="200" spans="2:2" hidden="1" x14ac:dyDescent="0.35">
      <c r="B200" s="246" t="s">
        <v>61</v>
      </c>
    </row>
    <row r="201" spans="2:2" hidden="1" x14ac:dyDescent="0.35">
      <c r="B201" s="246" t="s">
        <v>23</v>
      </c>
    </row>
    <row r="202" spans="2:2" hidden="1" x14ac:dyDescent="0.35">
      <c r="B202" s="246" t="s">
        <v>63</v>
      </c>
    </row>
    <row r="203" spans="2:2" hidden="1" x14ac:dyDescent="0.35">
      <c r="B203" s="246" t="s">
        <v>65</v>
      </c>
    </row>
    <row r="204" spans="2:2" hidden="1" x14ac:dyDescent="0.35">
      <c r="B204" s="246" t="s">
        <v>68</v>
      </c>
    </row>
    <row r="205" spans="2:2" hidden="1" x14ac:dyDescent="0.35">
      <c r="B205" s="246" t="s">
        <v>69</v>
      </c>
    </row>
    <row r="206" spans="2:2" hidden="1" x14ac:dyDescent="0.35">
      <c r="B206" s="246" t="s">
        <v>70</v>
      </c>
    </row>
    <row r="207" spans="2:2" hidden="1" x14ac:dyDescent="0.35">
      <c r="B207" s="246" t="s">
        <v>71</v>
      </c>
    </row>
    <row r="208" spans="2:2" hidden="1" x14ac:dyDescent="0.35">
      <c r="B208" s="246" t="s">
        <v>632</v>
      </c>
    </row>
    <row r="209" spans="2:2" hidden="1" x14ac:dyDescent="0.35">
      <c r="B209" s="246" t="s">
        <v>633</v>
      </c>
    </row>
    <row r="210" spans="2:2" hidden="1" x14ac:dyDescent="0.35">
      <c r="B210" s="246" t="s">
        <v>75</v>
      </c>
    </row>
    <row r="211" spans="2:2" hidden="1" x14ac:dyDescent="0.35">
      <c r="B211" s="246" t="s">
        <v>77</v>
      </c>
    </row>
    <row r="212" spans="2:2" hidden="1" x14ac:dyDescent="0.35">
      <c r="B212" s="246" t="s">
        <v>81</v>
      </c>
    </row>
    <row r="213" spans="2:2" hidden="1" x14ac:dyDescent="0.35">
      <c r="B213" s="246" t="s">
        <v>634</v>
      </c>
    </row>
    <row r="214" spans="2:2" hidden="1" x14ac:dyDescent="0.35">
      <c r="B214" s="246" t="s">
        <v>635</v>
      </c>
    </row>
    <row r="215" spans="2:2" hidden="1" x14ac:dyDescent="0.35">
      <c r="B215" s="246" t="s">
        <v>636</v>
      </c>
    </row>
    <row r="216" spans="2:2" hidden="1" x14ac:dyDescent="0.35">
      <c r="B216" s="246" t="s">
        <v>79</v>
      </c>
    </row>
    <row r="217" spans="2:2" hidden="1" x14ac:dyDescent="0.35">
      <c r="B217" s="246" t="s">
        <v>80</v>
      </c>
    </row>
    <row r="218" spans="2:2" hidden="1" x14ac:dyDescent="0.35">
      <c r="B218" s="246" t="s">
        <v>83</v>
      </c>
    </row>
    <row r="219" spans="2:2" hidden="1" x14ac:dyDescent="0.35">
      <c r="B219" s="246" t="s">
        <v>85</v>
      </c>
    </row>
    <row r="220" spans="2:2" hidden="1" x14ac:dyDescent="0.35">
      <c r="B220" s="246" t="s">
        <v>637</v>
      </c>
    </row>
    <row r="221" spans="2:2" hidden="1" x14ac:dyDescent="0.35">
      <c r="B221" s="246" t="s">
        <v>84</v>
      </c>
    </row>
    <row r="222" spans="2:2" hidden="1" x14ac:dyDescent="0.35">
      <c r="B222" s="246" t="s">
        <v>86</v>
      </c>
    </row>
    <row r="223" spans="2:2" hidden="1" x14ac:dyDescent="0.35">
      <c r="B223" s="246" t="s">
        <v>89</v>
      </c>
    </row>
    <row r="224" spans="2:2" hidden="1" x14ac:dyDescent="0.35">
      <c r="B224" s="246" t="s">
        <v>88</v>
      </c>
    </row>
    <row r="225" spans="2:2" hidden="1" x14ac:dyDescent="0.35">
      <c r="B225" s="246" t="s">
        <v>638</v>
      </c>
    </row>
    <row r="226" spans="2:2" hidden="1" x14ac:dyDescent="0.35">
      <c r="B226" s="246" t="s">
        <v>95</v>
      </c>
    </row>
    <row r="227" spans="2:2" hidden="1" x14ac:dyDescent="0.35">
      <c r="B227" s="246" t="s">
        <v>97</v>
      </c>
    </row>
    <row r="228" spans="2:2" hidden="1" x14ac:dyDescent="0.35">
      <c r="B228" s="246" t="s">
        <v>98</v>
      </c>
    </row>
    <row r="229" spans="2:2" hidden="1" x14ac:dyDescent="0.35">
      <c r="B229" s="246" t="s">
        <v>99</v>
      </c>
    </row>
    <row r="230" spans="2:2" hidden="1" x14ac:dyDescent="0.35">
      <c r="B230" s="246" t="s">
        <v>639</v>
      </c>
    </row>
    <row r="231" spans="2:2" hidden="1" x14ac:dyDescent="0.35">
      <c r="B231" s="246" t="s">
        <v>640</v>
      </c>
    </row>
    <row r="232" spans="2:2" hidden="1" x14ac:dyDescent="0.35">
      <c r="B232" s="246" t="s">
        <v>100</v>
      </c>
    </row>
    <row r="233" spans="2:2" hidden="1" x14ac:dyDescent="0.35">
      <c r="B233" s="246" t="s">
        <v>154</v>
      </c>
    </row>
    <row r="234" spans="2:2" hidden="1" x14ac:dyDescent="0.35">
      <c r="B234" s="246" t="s">
        <v>641</v>
      </c>
    </row>
    <row r="235" spans="2:2" hidden="1" x14ac:dyDescent="0.35">
      <c r="B235" s="246" t="s">
        <v>642</v>
      </c>
    </row>
    <row r="236" spans="2:2" hidden="1" x14ac:dyDescent="0.35">
      <c r="B236" s="246" t="s">
        <v>105</v>
      </c>
    </row>
    <row r="237" spans="2:2" hidden="1" x14ac:dyDescent="0.35">
      <c r="B237" s="246" t="s">
        <v>107</v>
      </c>
    </row>
    <row r="238" spans="2:2" hidden="1" x14ac:dyDescent="0.35">
      <c r="B238" s="246" t="s">
        <v>643</v>
      </c>
    </row>
    <row r="239" spans="2:2" hidden="1" x14ac:dyDescent="0.35">
      <c r="B239" s="246" t="s">
        <v>155</v>
      </c>
    </row>
    <row r="240" spans="2:2" hidden="1" x14ac:dyDescent="0.35">
      <c r="B240" s="246" t="s">
        <v>172</v>
      </c>
    </row>
    <row r="241" spans="2:2" hidden="1" x14ac:dyDescent="0.35">
      <c r="B241" s="246" t="s">
        <v>106</v>
      </c>
    </row>
    <row r="242" spans="2:2" hidden="1" x14ac:dyDescent="0.35">
      <c r="B242" s="246" t="s">
        <v>110</v>
      </c>
    </row>
    <row r="243" spans="2:2" hidden="1" x14ac:dyDescent="0.35">
      <c r="B243" s="246" t="s">
        <v>104</v>
      </c>
    </row>
    <row r="244" spans="2:2" hidden="1" x14ac:dyDescent="0.35">
      <c r="B244" s="246" t="s">
        <v>126</v>
      </c>
    </row>
    <row r="245" spans="2:2" hidden="1" x14ac:dyDescent="0.35">
      <c r="B245" s="246" t="s">
        <v>644</v>
      </c>
    </row>
    <row r="246" spans="2:2" hidden="1" x14ac:dyDescent="0.35">
      <c r="B246" s="246" t="s">
        <v>112</v>
      </c>
    </row>
    <row r="247" spans="2:2" hidden="1" x14ac:dyDescent="0.35">
      <c r="B247" s="246" t="s">
        <v>115</v>
      </c>
    </row>
    <row r="248" spans="2:2" hidden="1" x14ac:dyDescent="0.35">
      <c r="B248" s="246" t="s">
        <v>121</v>
      </c>
    </row>
    <row r="249" spans="2:2" hidden="1" x14ac:dyDescent="0.35">
      <c r="B249" s="246" t="s">
        <v>118</v>
      </c>
    </row>
    <row r="250" spans="2:2" ht="29" hidden="1" x14ac:dyDescent="0.35">
      <c r="B250" s="246" t="s">
        <v>645</v>
      </c>
    </row>
    <row r="251" spans="2:2" hidden="1" x14ac:dyDescent="0.35">
      <c r="B251" s="246" t="s">
        <v>116</v>
      </c>
    </row>
    <row r="252" spans="2:2" hidden="1" x14ac:dyDescent="0.35">
      <c r="B252" s="246" t="s">
        <v>117</v>
      </c>
    </row>
    <row r="253" spans="2:2" hidden="1" x14ac:dyDescent="0.35">
      <c r="B253" s="246" t="s">
        <v>128</v>
      </c>
    </row>
    <row r="254" spans="2:2" hidden="1" x14ac:dyDescent="0.35">
      <c r="B254" s="246" t="s">
        <v>125</v>
      </c>
    </row>
    <row r="255" spans="2:2" hidden="1" x14ac:dyDescent="0.35">
      <c r="B255" s="246" t="s">
        <v>124</v>
      </c>
    </row>
    <row r="256" spans="2:2" hidden="1" x14ac:dyDescent="0.35">
      <c r="B256" s="246" t="s">
        <v>127</v>
      </c>
    </row>
    <row r="257" spans="2:2" hidden="1" x14ac:dyDescent="0.35">
      <c r="B257" s="246" t="s">
        <v>119</v>
      </c>
    </row>
    <row r="258" spans="2:2" hidden="1" x14ac:dyDescent="0.35">
      <c r="B258" s="246" t="s">
        <v>120</v>
      </c>
    </row>
    <row r="259" spans="2:2" hidden="1" x14ac:dyDescent="0.35">
      <c r="B259" s="246" t="s">
        <v>113</v>
      </c>
    </row>
    <row r="260" spans="2:2" hidden="1" x14ac:dyDescent="0.35">
      <c r="B260" s="246" t="s">
        <v>114</v>
      </c>
    </row>
    <row r="261" spans="2:2" hidden="1" x14ac:dyDescent="0.35">
      <c r="B261" s="246" t="s">
        <v>129</v>
      </c>
    </row>
    <row r="262" spans="2:2" hidden="1" x14ac:dyDescent="0.35">
      <c r="B262" s="246" t="s">
        <v>135</v>
      </c>
    </row>
    <row r="263" spans="2:2" hidden="1" x14ac:dyDescent="0.35">
      <c r="B263" s="246" t="s">
        <v>136</v>
      </c>
    </row>
    <row r="264" spans="2:2" hidden="1" x14ac:dyDescent="0.35">
      <c r="B264" s="246" t="s">
        <v>134</v>
      </c>
    </row>
    <row r="265" spans="2:2" hidden="1" x14ac:dyDescent="0.35">
      <c r="B265" s="246" t="s">
        <v>646</v>
      </c>
    </row>
    <row r="266" spans="2:2" hidden="1" x14ac:dyDescent="0.35">
      <c r="B266" s="246" t="s">
        <v>131</v>
      </c>
    </row>
    <row r="267" spans="2:2" hidden="1" x14ac:dyDescent="0.35">
      <c r="B267" s="246" t="s">
        <v>130</v>
      </c>
    </row>
    <row r="268" spans="2:2" hidden="1" x14ac:dyDescent="0.35">
      <c r="B268" s="246" t="s">
        <v>138</v>
      </c>
    </row>
    <row r="269" spans="2:2" hidden="1" x14ac:dyDescent="0.35">
      <c r="B269" s="246" t="s">
        <v>139</v>
      </c>
    </row>
    <row r="270" spans="2:2" hidden="1" x14ac:dyDescent="0.35">
      <c r="B270" s="246" t="s">
        <v>141</v>
      </c>
    </row>
    <row r="271" spans="2:2" hidden="1" x14ac:dyDescent="0.35">
      <c r="B271" s="246" t="s">
        <v>144</v>
      </c>
    </row>
    <row r="272" spans="2:2" hidden="1" x14ac:dyDescent="0.35">
      <c r="B272" s="246" t="s">
        <v>145</v>
      </c>
    </row>
    <row r="273" spans="2:2" hidden="1" x14ac:dyDescent="0.35">
      <c r="B273" s="246" t="s">
        <v>140</v>
      </c>
    </row>
    <row r="274" spans="2:2" hidden="1" x14ac:dyDescent="0.35">
      <c r="B274" s="246" t="s">
        <v>142</v>
      </c>
    </row>
    <row r="275" spans="2:2" hidden="1" x14ac:dyDescent="0.35">
      <c r="B275" s="246" t="s">
        <v>146</v>
      </c>
    </row>
    <row r="276" spans="2:2" hidden="1" x14ac:dyDescent="0.35">
      <c r="B276" s="246" t="s">
        <v>647</v>
      </c>
    </row>
    <row r="277" spans="2:2" hidden="1" x14ac:dyDescent="0.35">
      <c r="B277" s="246" t="s">
        <v>143</v>
      </c>
    </row>
    <row r="278" spans="2:2" hidden="1" x14ac:dyDescent="0.35">
      <c r="B278" s="246" t="s">
        <v>151</v>
      </c>
    </row>
    <row r="279" spans="2:2" hidden="1" x14ac:dyDescent="0.35">
      <c r="B279" s="246" t="s">
        <v>152</v>
      </c>
    </row>
    <row r="280" spans="2:2" hidden="1" x14ac:dyDescent="0.35">
      <c r="B280" s="246" t="s">
        <v>153</v>
      </c>
    </row>
    <row r="281" spans="2:2" hidden="1" x14ac:dyDescent="0.35">
      <c r="B281" s="246" t="s">
        <v>160</v>
      </c>
    </row>
    <row r="282" spans="2:2" hidden="1" x14ac:dyDescent="0.35">
      <c r="B282" s="246" t="s">
        <v>173</v>
      </c>
    </row>
    <row r="283" spans="2:2" hidden="1" x14ac:dyDescent="0.35">
      <c r="B283" s="246" t="s">
        <v>161</v>
      </c>
    </row>
    <row r="284" spans="2:2" hidden="1" x14ac:dyDescent="0.35">
      <c r="B284" s="246" t="s">
        <v>168</v>
      </c>
    </row>
    <row r="285" spans="2:2" hidden="1" x14ac:dyDescent="0.35">
      <c r="B285" s="246" t="s">
        <v>164</v>
      </c>
    </row>
    <row r="286" spans="2:2" hidden="1" x14ac:dyDescent="0.35">
      <c r="B286" s="246" t="s">
        <v>66</v>
      </c>
    </row>
    <row r="287" spans="2:2" hidden="1" x14ac:dyDescent="0.35">
      <c r="B287" s="246" t="s">
        <v>158</v>
      </c>
    </row>
    <row r="288" spans="2:2" hidden="1" x14ac:dyDescent="0.35">
      <c r="B288" s="246" t="s">
        <v>162</v>
      </c>
    </row>
    <row r="289" spans="2:2" hidden="1" x14ac:dyDescent="0.35">
      <c r="B289" s="246" t="s">
        <v>159</v>
      </c>
    </row>
    <row r="290" spans="2:2" hidden="1" x14ac:dyDescent="0.35">
      <c r="B290" s="246" t="s">
        <v>174</v>
      </c>
    </row>
    <row r="291" spans="2:2" hidden="1" x14ac:dyDescent="0.35">
      <c r="B291" s="246" t="s">
        <v>648</v>
      </c>
    </row>
    <row r="292" spans="2:2" hidden="1" x14ac:dyDescent="0.35">
      <c r="B292" s="246" t="s">
        <v>167</v>
      </c>
    </row>
    <row r="293" spans="2:2" hidden="1" x14ac:dyDescent="0.35">
      <c r="B293" s="246" t="s">
        <v>175</v>
      </c>
    </row>
    <row r="294" spans="2:2" hidden="1" x14ac:dyDescent="0.35">
      <c r="B294" s="246" t="s">
        <v>163</v>
      </c>
    </row>
    <row r="295" spans="2:2" hidden="1" x14ac:dyDescent="0.35">
      <c r="B295" s="246" t="s">
        <v>178</v>
      </c>
    </row>
    <row r="296" spans="2:2" hidden="1" x14ac:dyDescent="0.35">
      <c r="B296" s="246" t="s">
        <v>649</v>
      </c>
    </row>
    <row r="297" spans="2:2" hidden="1" x14ac:dyDescent="0.35">
      <c r="B297" s="246" t="s">
        <v>183</v>
      </c>
    </row>
    <row r="298" spans="2:2" hidden="1" x14ac:dyDescent="0.35">
      <c r="B298" s="246" t="s">
        <v>180</v>
      </c>
    </row>
    <row r="299" spans="2:2" hidden="1" x14ac:dyDescent="0.35">
      <c r="B299" s="246" t="s">
        <v>179</v>
      </c>
    </row>
    <row r="300" spans="2:2" hidden="1" x14ac:dyDescent="0.35">
      <c r="B300" s="246" t="s">
        <v>188</v>
      </c>
    </row>
    <row r="301" spans="2:2" hidden="1" x14ac:dyDescent="0.35">
      <c r="B301" s="246" t="s">
        <v>184</v>
      </c>
    </row>
    <row r="302" spans="2:2" hidden="1" x14ac:dyDescent="0.35">
      <c r="B302" s="246" t="s">
        <v>185</v>
      </c>
    </row>
    <row r="303" spans="2:2" hidden="1" x14ac:dyDescent="0.35">
      <c r="B303" s="246" t="s">
        <v>186</v>
      </c>
    </row>
    <row r="304" spans="2:2" hidden="1" x14ac:dyDescent="0.35">
      <c r="B304" s="246" t="s">
        <v>187</v>
      </c>
    </row>
    <row r="305" spans="2:2" hidden="1" x14ac:dyDescent="0.35">
      <c r="B305" s="246" t="s">
        <v>189</v>
      </c>
    </row>
    <row r="306" spans="2:2" hidden="1" x14ac:dyDescent="0.35">
      <c r="B306" s="246" t="s">
        <v>650</v>
      </c>
    </row>
    <row r="307" spans="2:2" hidden="1" x14ac:dyDescent="0.35">
      <c r="B307" s="246" t="s">
        <v>190</v>
      </c>
    </row>
    <row r="308" spans="2:2" hidden="1" x14ac:dyDescent="0.35">
      <c r="B308" s="246" t="s">
        <v>191</v>
      </c>
    </row>
    <row r="309" spans="2:2" hidden="1" x14ac:dyDescent="0.35">
      <c r="B309" s="246" t="s">
        <v>196</v>
      </c>
    </row>
    <row r="310" spans="2:2" hidden="1" x14ac:dyDescent="0.35">
      <c r="B310" s="246" t="s">
        <v>197</v>
      </c>
    </row>
    <row r="311" spans="2:2" hidden="1" x14ac:dyDescent="0.35">
      <c r="B311" s="246" t="s">
        <v>156</v>
      </c>
    </row>
    <row r="312" spans="2:2" hidden="1" x14ac:dyDescent="0.35">
      <c r="B312" s="246" t="s">
        <v>651</v>
      </c>
    </row>
    <row r="313" spans="2:2" hidden="1" x14ac:dyDescent="0.35">
      <c r="B313" s="246" t="s">
        <v>652</v>
      </c>
    </row>
    <row r="314" spans="2:2" hidden="1" x14ac:dyDescent="0.35">
      <c r="B314" s="246" t="s">
        <v>198</v>
      </c>
    </row>
    <row r="315" spans="2:2" hidden="1" x14ac:dyDescent="0.35">
      <c r="B315" s="246" t="s">
        <v>157</v>
      </c>
    </row>
    <row r="316" spans="2:2" hidden="1" x14ac:dyDescent="0.35">
      <c r="B316" s="246" t="s">
        <v>653</v>
      </c>
    </row>
    <row r="317" spans="2:2" hidden="1" x14ac:dyDescent="0.35">
      <c r="B317" s="246" t="s">
        <v>170</v>
      </c>
    </row>
    <row r="318" spans="2:2" hidden="1" x14ac:dyDescent="0.35">
      <c r="B318" s="246" t="s">
        <v>202</v>
      </c>
    </row>
    <row r="319" spans="2:2" hidden="1" x14ac:dyDescent="0.35">
      <c r="B319" s="246" t="s">
        <v>203</v>
      </c>
    </row>
    <row r="320" spans="2:2" hidden="1" x14ac:dyDescent="0.35">
      <c r="B320" s="246" t="s">
        <v>182</v>
      </c>
    </row>
    <row r="321" hidden="1" x14ac:dyDescent="0.35"/>
  </sheetData>
  <dataConsolidate/>
  <mergeCells count="30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D61:G61"/>
    <mergeCell ref="H61:K61"/>
    <mergeCell ref="L61:O61"/>
    <mergeCell ref="P61:S61"/>
    <mergeCell ref="L62:M62"/>
    <mergeCell ref="N62:O62"/>
    <mergeCell ref="P62:Q62"/>
    <mergeCell ref="R62:S62"/>
    <mergeCell ref="P63:Q63"/>
    <mergeCell ref="R63:S63"/>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B26:B28"/>
    <mergeCell ref="B29:B38"/>
    <mergeCell ref="B39:B50"/>
    <mergeCell ref="D52:G52"/>
    <mergeCell ref="H52:K52"/>
    <mergeCell ref="L52:O52"/>
    <mergeCell ref="P52:S52"/>
    <mergeCell ref="N54:N55"/>
    <mergeCell ref="O54:O55"/>
    <mergeCell ref="R54:R55"/>
    <mergeCell ref="S54:S55"/>
    <mergeCell ref="D19:G19"/>
    <mergeCell ref="H19:K19"/>
    <mergeCell ref="L19:O19"/>
    <mergeCell ref="P19:S19"/>
    <mergeCell ref="B20:B23"/>
    <mergeCell ref="C20:C23"/>
    <mergeCell ref="C2:G2"/>
    <mergeCell ref="C3:G3"/>
    <mergeCell ref="B6:G6"/>
    <mergeCell ref="B7:G7"/>
    <mergeCell ref="B8:G8"/>
    <mergeCell ref="B10:C10"/>
    <mergeCell ref="E16:J17"/>
  </mergeCells>
  <conditionalFormatting sqref="E136">
    <cfRule type="iconSet" priority="1">
      <iconSet iconSet="4ArrowsGray">
        <cfvo type="percent" val="0"/>
        <cfvo type="percent" val="25"/>
        <cfvo type="percent" val="50"/>
        <cfvo type="percent" val="75"/>
      </iconSet>
    </cfRule>
  </conditionalFormatting>
  <dataValidations count="56">
    <dataValidation allowBlank="1" showInputMessage="1" showErrorMessage="1" prompt="Enter the name of the Implementing Entity_x000a_" sqref="C13" xr:uid="{00000000-0002-0000-0E00-000000000000}"/>
    <dataValidation allowBlank="1" showInputMessage="1" showErrorMessage="1" prompt="Please enter your project ID" sqref="C12" xr:uid="{00000000-0002-0000-0E00-000001000000}"/>
    <dataValidation type="list" allowBlank="1" showInputMessage="1" showErrorMessage="1" error="Select from the drop-down list" prompt="Select from the drop-down list" sqref="C15" xr:uid="{00000000-0002-0000-0E00-000002000000}">
      <formula1>$B$162:$B$320</formula1>
    </dataValidation>
    <dataValidation type="list" allowBlank="1" showInputMessage="1" showErrorMessage="1" error="Select from the drop-down list" prompt="Select from the drop-down list" sqref="C16" xr:uid="{00000000-0002-0000-0E00-000003000000}">
      <formula1>$B$156:$B$159</formula1>
    </dataValidation>
    <dataValidation type="list" allowBlank="1" showInputMessage="1" showErrorMessage="1" error="Please select from the drop-down list" prompt="Please select from the drop-down list" sqref="C14" xr:uid="{00000000-0002-0000-0E00-000004000000}">
      <formula1>$C$156:$C$158</formula1>
    </dataValidation>
    <dataValidation type="list" allowBlank="1" showInputMessage="1" showErrorMessage="1" error="Please select the from the drop-down list_x000a_" prompt="Please select from the drop-down list" sqref="C17" xr:uid="{00000000-0002-0000-0E00-000005000000}">
      <formula1>$J$147:$J$154</formula1>
    </dataValidation>
    <dataValidation type="list" allowBlank="1" showInputMessage="1" showErrorMessage="1" prompt="Select state of enforcement" sqref="E129:F129 Q129:R129 M129:N129 I129:J129" xr:uid="{00000000-0002-0000-0E00-000006000000}">
      <formula1>$I$136:$I$140</formula1>
    </dataValidation>
    <dataValidation type="list" allowBlank="1" showInputMessage="1" showErrorMessage="1" prompt="Select integration level" sqref="D125:S125" xr:uid="{00000000-0002-0000-0E00-000007000000}">
      <formula1>$H$143:$H$147</formula1>
    </dataValidation>
    <dataValidation type="list" allowBlank="1" showInputMessage="1" showErrorMessage="1" prompt="Select adaptation strategy" sqref="G113 S113 K113 O113" xr:uid="{00000000-0002-0000-0E00-000008000000}">
      <formula1>$I$161:$I$177</formula1>
    </dataValidation>
    <dataValidation type="list" allowBlank="1" showInputMessage="1" showErrorMessage="1" error="Please select improvement level from the drop-down list" prompt="Select improvement level" sqref="F103:G103 R103:S103 N103:O103 J103:K103" xr:uid="{00000000-0002-0000-0E00-000009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G92:G93 O95:O96 O92:O93 O89:O90 K89:K90 K92:K93 K95:K96 K98:K99 G98:G99 G95:G96 O98:O99" xr:uid="{00000000-0002-0000-0E00-00000A000000}">
      <formula1>$K$155:$K$159</formula1>
    </dataValidation>
    <dataValidation type="list" allowBlank="1" showInputMessage="1" showErrorMessage="1" prompt="Select type" sqref="G87 O87 S87 K87" xr:uid="{00000000-0002-0000-0E00-00000B000000}">
      <formula1>$F$136:$F$140</formula1>
    </dataValidation>
    <dataValidation type="list" allowBlank="1" showInputMessage="1" showErrorMessage="1" prompt="Select level of improvements" sqref="D87:E87 P87 L87 H87" xr:uid="{00000000-0002-0000-0E00-00000C000000}">
      <formula1>$K$155:$K$159</formula1>
    </dataValidation>
    <dataValidation type="list" allowBlank="1" showInputMessage="1" showErrorMessage="1" sqref="E78:F83 I78:J83 Q78:R83 M78:N83" xr:uid="{00000000-0002-0000-0E00-00000D000000}">
      <formula1>type1</formula1>
    </dataValidation>
    <dataValidation type="list" allowBlank="1" showInputMessage="1" showErrorMessage="1" prompt="Select type" sqref="F57:G57 P59 N57:O57 H59 D59 R57:S57 J57:K57 L59" xr:uid="{00000000-0002-0000-0E00-00000E000000}">
      <formula1>$D$147:$D$149</formula1>
    </dataValidation>
    <dataValidation type="list" allowBlank="1" showInputMessage="1" showErrorMessage="1" sqref="B66" xr:uid="{00000000-0002-0000-0E00-00000F000000}">
      <formula1>selectyn</formula1>
    </dataValidation>
    <dataValidation type="list" allowBlank="1" showInputMessage="1" showErrorMessage="1" sqref="I126 O112 K77 I77 G77 K126 M126 Q77 S77 E126 O126 F112 G126 S112 O77 M77 K112 S126 Q126" xr:uid="{00000000-0002-0000-0E00-000010000000}">
      <formula1>group</formula1>
    </dataValidation>
    <dataValidation type="list" allowBlank="1" showInputMessage="1" showErrorMessage="1" prompt="Select sector" sqref="F54 Q127 R54 R113 N113 F59 F113 R59 E127 S78:S83 P71:P76 L71:L76 N59 K78:K83 H71:H76 G78:G83 D71:D76 J59 N54 I127 J54 J113 M127 O78:O83" xr:uid="{00000000-0002-0000-0E00-000011000000}">
      <formula1>$J$146:$J$154</formula1>
    </dataValidation>
    <dataValidation type="list" allowBlank="1" showInputMessage="1" showErrorMessage="1" prompt="Select capacity level" sqref="G54 S54 K54 O54" xr:uid="{00000000-0002-0000-0E00-000012000000}">
      <formula1>$F$155:$F$158</formula1>
    </dataValidation>
    <dataValidation type="list" allowBlank="1" showInputMessage="1" showErrorMessage="1" prompt="Select scale" sqref="F127 Q59 J127 I59 E59 N127 M59 R127" xr:uid="{00000000-0002-0000-0E00-000013000000}">
      <formula1>$D$151:$D$153</formula1>
    </dataValidation>
    <dataValidation type="list" allowBlank="1" showInputMessage="1" showErrorMessage="1" prompt="Select scale" sqref="G59 S59 K59 O59" xr:uid="{00000000-0002-0000-0E00-000014000000}">
      <formula1>$F$155:$F$158</formula1>
    </dataValidation>
    <dataValidation type="list" allowBlank="1" showInputMessage="1" showErrorMessage="1" prompt="Select level of awarness" sqref="F65:G65 R65:S65 N65:O65 J65:K65" xr:uid="{00000000-0002-0000-0E00-000015000000}">
      <formula1>$G$155:$G$159</formula1>
    </dataValidation>
    <dataValidation type="list" allowBlank="1" showInputMessage="1" showErrorMessage="1" prompt="Select project/programme sector" sqref="D69 L69 H69 P69" xr:uid="{00000000-0002-0000-0E00-000016000000}">
      <formula1>$J$146:$J$154</formula1>
    </dataValidation>
    <dataValidation type="list" allowBlank="1" showInputMessage="1" showErrorMessage="1" prompt="Select geographical scale" sqref="E69 Q69 I69 M69" xr:uid="{00000000-0002-0000-0E00-000017000000}">
      <formula1>$D$151:$D$153</formula1>
    </dataValidation>
    <dataValidation type="list" allowBlank="1" showInputMessage="1" showErrorMessage="1" prompt="Select response level" sqref="F69 R69 J69 N69" xr:uid="{00000000-0002-0000-0E00-000018000000}">
      <formula1>$H$155:$H$159</formula1>
    </dataValidation>
    <dataValidation type="list" allowBlank="1" showInputMessage="1" showErrorMessage="1" prompt="Select changes in asset" sqref="F71:G76 R71:S76 J71:K76 N71:O76" xr:uid="{00000000-0002-0000-0E00-000019000000}">
      <formula1>$I$155:$I$159</formula1>
    </dataValidation>
    <dataValidation type="list" allowBlank="1" showInputMessage="1" showErrorMessage="1" prompt="Select level of improvements" sqref="I87 M87 Q87" xr:uid="{00000000-0002-0000-0E00-00001A000000}">
      <formula1>effectiveness</formula1>
    </dataValidation>
    <dataValidation type="list" allowBlank="1" showInputMessage="1" showErrorMessage="1" prompt="Select programme/sector" sqref="F87 R87 N87 J87" xr:uid="{00000000-0002-0000-0E00-00001B000000}">
      <formula1>$J$146:$J$154</formula1>
    </dataValidation>
    <dataValidation type="list" allowBlank="1" showInputMessage="1" showErrorMessage="1" prompt="Select the effectiveness of protection/rehabilitation" sqref="S98 S92 S95 S89" xr:uid="{00000000-0002-0000-0E00-00001C000000}">
      <formula1>effectiveness</formula1>
    </dataValidation>
    <dataValidation type="list" allowBlank="1" showInputMessage="1" showErrorMessage="1" prompt="Select income source" sqref="Q115 Q119 Q121 Q117" xr:uid="{00000000-0002-0000-0E00-00001D000000}">
      <formula1>incomesource</formula1>
    </dataValidation>
    <dataValidation type="list" allowBlank="1" showInputMessage="1" showErrorMessage="1" prompt="Select type of policy" sqref="S127 K127 O127" xr:uid="{00000000-0002-0000-0E00-00001E000000}">
      <formula1>policy</formula1>
    </dataValidation>
    <dataValidation type="decimal" allowBlank="1" showInputMessage="1" showErrorMessage="1" errorTitle="Invalid data" error="Please enter a number between 0 and 100" prompt="Enter a percentage between 0 and 100" sqref="E22:E23 E65 I105 M22:M23 Q111 H63:I63 I111 M57 Q109 E103 I22:I23 I57 M55 I55 E111 E57 Q57 I65 M65 Q65 Q103 M109 I109 M103 I103 E109 Q55 D63:E63 M111 E105 E107 Q22:Q23 P63:Q63 I107 M105 L63:M63 M107 Q105 Q107 E55" xr:uid="{00000000-0002-0000-0E00-00001F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E00-000020000000}">
      <formula1>0</formula1>
      <formula2>100</formula2>
    </dataValidation>
    <dataValidation type="decimal" allowBlank="1" showInputMessage="1" showErrorMessage="1" errorTitle="Invalid data" error="Please enter a number between 0 and 9999999" prompt="Enter a number here" sqref="E21:G21 M21:O21 R21:S21 K21 E54 D65" xr:uid="{00000000-0002-0000-0E00-000021000000}">
      <formula1>0</formula1>
      <formula2>99999999999</formula2>
    </dataValidation>
    <dataValidation type="list" allowBlank="1" showInputMessage="1" showErrorMessage="1" prompt="Select a sector" sqref="F63:G63 R63:S63 J63:K63 N63:O63" xr:uid="{00000000-0002-0000-0E00-000022000000}">
      <formula1>$J$146:$J$154</formula1>
    </dataValidation>
    <dataValidation type="list" allowBlank="1" showInputMessage="1" showErrorMessage="1" prompt="Select effectiveness" sqref="G129 S129 O129 K129" xr:uid="{00000000-0002-0000-0E00-000023000000}">
      <formula1>$K$155:$K$159</formula1>
    </dataValidation>
    <dataValidation type="list" allowBlank="1" showInputMessage="1" showErrorMessage="1" sqref="E142:E143" xr:uid="{00000000-0002-0000-0E00-000024000000}">
      <formula1>$D$16:$D$18</formula1>
    </dataValidation>
    <dataValidation type="list" allowBlank="1" showInputMessage="1" showErrorMessage="1" prompt="Select targeted asset" sqref="E71:E76 I71:I76 Q71:Q76 M71:M76" xr:uid="{00000000-0002-0000-0E00-000025000000}">
      <formula1>$J$165:$J$166</formula1>
    </dataValidation>
    <dataValidation type="list" allowBlank="1" showInputMessage="1" showErrorMessage="1" prompt="Enter the unit and type of the natural asset of ecosystem restored" sqref="F89:F90 J92:J93 J95:J96 J98:J99 N92:N93 N95:N96 J89:J90 F98:F99 F95:F96 F92:F93 N89:N90 N98:N99" xr:uid="{00000000-0002-0000-0E00-000026000000}">
      <formula1>$C$160:$C$163</formula1>
    </dataValidation>
    <dataValidation type="list" allowBlank="1" showInputMessage="1" showErrorMessage="1" prompt="Select type of natural assets protected or rehabilitated" sqref="D89:D90 D92:D93 D95:D96 D98:D99 H89:H90 H92:H93 H95:H96 H98:H99 L89:L90 L92:L93 L95:L96 P92:P93 P95:P96 P98:P99 P89:P90 L98:L99" xr:uid="{00000000-0002-0000-0E00-000027000000}">
      <formula1>$C$166:$C$173</formula1>
    </dataValidation>
    <dataValidation type="list" allowBlank="1" showInputMessage="1" showErrorMessage="1" prompt="Select % increase in income level" sqref="F111 R111 R109 R107 R105 N109 N107 N105 J109 J107 J105 F109 F107 J111 F105 N111" xr:uid="{00000000-0002-0000-0E00-000028000000}">
      <formula1>$E$168:$E$176</formula1>
    </dataValidation>
    <dataValidation type="list" allowBlank="1" showInputMessage="1" showErrorMessage="1" prompt="Please select the alternate source" sqref="G111 S111 S109 S107 S105 O107 O109 O105 K109 K107 K105 G109 G107 K111 G105 O111" xr:uid="{00000000-0002-0000-0E00-000029000000}">
      <formula1>$K$139:$K$153</formula1>
    </dataValidation>
    <dataValidation type="list" allowBlank="1" showInputMessage="1" showErrorMessage="1" prompt="Select income source" sqref="M117 R121 R119 R117 I115 E115 E117 I121 I119 I117 R115 E119 M115 M119 E121 M121" xr:uid="{00000000-0002-0000-0E00-00002A000000}">
      <formula1>$K$139:$K$153</formula1>
    </dataValidation>
    <dataValidation type="decimal" allowBlank="1" showInputMessage="1" showErrorMessage="1" errorTitle="Invalid data" error="Please enter a number" sqref="Q54 P57 L57 H57 I54 M54" xr:uid="{00000000-0002-0000-0E00-00002B000000}">
      <formula1>0</formula1>
      <formula2>9999999999</formula2>
    </dataValidation>
    <dataValidation type="decimal" allowBlank="1" showInputMessage="1" showErrorMessage="1" errorTitle="Invalid data" error="Please enter a number" prompt="Enter total number of staff trained" sqref="D57" xr:uid="{00000000-0002-0000-0E00-00002C000000}">
      <formula1>0</formula1>
      <formula2>9999999999</formula2>
    </dataValidation>
    <dataValidation type="decimal" allowBlank="1" showInputMessage="1" showErrorMessage="1" errorTitle="Invalid data" error="Please enter a number" prompt="Please enter a number here" sqref="Q21 I21:J21 P65 H65 L65" xr:uid="{00000000-0002-0000-0E00-00002D000000}">
      <formula1>0</formula1>
      <formula2>9999999999</formula2>
    </dataValidation>
    <dataValidation type="whole" allowBlank="1" showInputMessage="1" showErrorMessage="1" error="Please enter a number here" prompt="Please enter a number" sqref="D78:D83 H78:H83 P78:P83 L78:L83" xr:uid="{00000000-0002-0000-0E00-00002E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E00-00002F000000}">
      <formula1>0</formula1>
    </dataValidation>
    <dataValidation type="whole" allowBlank="1" showInputMessage="1" showErrorMessage="1" error="Please enter a number here" prompt="Please enter the No. of targeted households" sqref="D103 L111 P111 D109 H109 H111 P103 L103 D105 D107 H103 H107 H105 L105 L107 L109 P105 P107 P109 D111" xr:uid="{00000000-0002-0000-0E00-000030000000}">
      <formula1>0</formula1>
      <formula2>999999999999999</formula2>
    </dataValidation>
    <dataValidation type="whole" allowBlank="1" showInputMessage="1" showErrorMessage="1" prompt="Enter number of assets" sqref="D113 P113 H113 L113" xr:uid="{00000000-0002-0000-0E00-000031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E00-000032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E00-000033000000}">
      <formula1>0</formula1>
      <formula2>9999999999999</formula2>
    </dataValidation>
    <dataValidation type="whole" allowBlank="1" showInputMessage="1" showErrorMessage="1" error="Please enter a number" prompt="Enter No. of policy introduced or adjusted" sqref="D127 H127 L127 P127" xr:uid="{00000000-0002-0000-0E00-000034000000}">
      <formula1>0</formula1>
      <formula2>999999999999</formula2>
    </dataValidation>
    <dataValidation type="whole" allowBlank="1" showInputMessage="1" showErrorMessage="1" error="Please enter a number here" prompt="Enter No. of development strategies" sqref="D129 H129 L129 P129" xr:uid="{00000000-0002-0000-0E00-000035000000}">
      <formula1>0</formula1>
      <formula2>999999999</formula2>
    </dataValidation>
    <dataValidation type="list" allowBlank="1" showInputMessage="1" showErrorMessage="1" prompt="Select type of assets" sqref="E113 Q113 I113 M113" xr:uid="{00000000-0002-0000-0E00-000036000000}">
      <formula1>$L$140:$L$146</formula1>
    </dataValidation>
    <dataValidation type="list" allowBlank="1" showInputMessage="1" showErrorMessage="1" prompt="Select type of policy" sqref="G127" xr:uid="{00000000-0002-0000-0E00-000037000000}">
      <formula1>$H$164:$H$185</formula1>
    </dataValidation>
  </dataValidations>
  <pageMargins left="0.7" right="0.7" top="0.75" bottom="0.75" header="0.3" footer="0.3"/>
  <pageSetup paperSize="8" scale="36" fitToHeight="0"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C1:P31"/>
  <sheetViews>
    <sheetView showGridLines="0" view="pageBreakPreview" topLeftCell="B1" zoomScale="96" zoomScaleSheetLayoutView="96" workbookViewId="0">
      <selection activeCell="L8" sqref="L8"/>
    </sheetView>
  </sheetViews>
  <sheetFormatPr defaultColWidth="11.54296875" defaultRowHeight="14.5" x14ac:dyDescent="0.35"/>
  <cols>
    <col min="1" max="1" width="3.453125" customWidth="1"/>
    <col min="2" max="2" width="0.81640625" customWidth="1"/>
    <col min="3" max="3" width="4.453125" customWidth="1"/>
    <col min="4" max="4" width="5.453125" customWidth="1"/>
    <col min="5" max="5" width="29.81640625" customWidth="1"/>
    <col min="6" max="6" width="10.54296875" customWidth="1"/>
    <col min="7" max="7" width="10.453125" customWidth="1"/>
    <col min="8" max="8" width="13.1796875" customWidth="1"/>
    <col min="9" max="9" width="10.453125" customWidth="1"/>
    <col min="10" max="10" width="9.54296875" customWidth="1"/>
    <col min="11" max="12" width="10.453125" customWidth="1"/>
    <col min="13" max="13" width="5.453125" style="249" customWidth="1"/>
    <col min="14" max="14" width="10" customWidth="1"/>
    <col min="15" max="15" width="0.81640625" customWidth="1"/>
    <col min="16" max="16" width="12.81640625" bestFit="1" customWidth="1"/>
  </cols>
  <sheetData>
    <row r="1" spans="3:16" x14ac:dyDescent="0.35">
      <c r="E1">
        <f>'[6]PTBA 2016'!A1</f>
        <v>9.6446078710224494</v>
      </c>
    </row>
    <row r="2" spans="3:16" ht="6.75" customHeight="1" x14ac:dyDescent="0.35"/>
    <row r="3" spans="3:16" ht="15" customHeight="1" x14ac:dyDescent="0.35">
      <c r="C3" s="917" t="s">
        <v>660</v>
      </c>
      <c r="D3" s="918"/>
      <c r="E3" s="921" t="s">
        <v>661</v>
      </c>
      <c r="F3" s="909" t="s">
        <v>662</v>
      </c>
      <c r="G3" s="909" t="s">
        <v>663</v>
      </c>
      <c r="H3" s="922" t="s">
        <v>664</v>
      </c>
      <c r="I3" s="923" t="s">
        <v>665</v>
      </c>
      <c r="J3" s="924"/>
      <c r="K3" s="905" t="s">
        <v>666</v>
      </c>
      <c r="L3" s="907" t="s">
        <v>667</v>
      </c>
      <c r="M3" s="909" t="s">
        <v>668</v>
      </c>
      <c r="N3" s="907" t="s">
        <v>669</v>
      </c>
    </row>
    <row r="4" spans="3:16" ht="22.5" customHeight="1" x14ac:dyDescent="0.35">
      <c r="C4" s="919"/>
      <c r="D4" s="920"/>
      <c r="E4" s="921"/>
      <c r="F4" s="910"/>
      <c r="G4" s="910"/>
      <c r="H4" s="922"/>
      <c r="I4" s="250" t="s">
        <v>670</v>
      </c>
      <c r="J4" s="250" t="s">
        <v>671</v>
      </c>
      <c r="K4" s="906"/>
      <c r="L4" s="908"/>
      <c r="M4" s="910"/>
      <c r="N4" s="908"/>
    </row>
    <row r="5" spans="3:16" x14ac:dyDescent="0.35">
      <c r="C5" s="911" t="s">
        <v>672</v>
      </c>
      <c r="D5" s="914" t="s">
        <v>673</v>
      </c>
      <c r="E5" s="251" t="s">
        <v>674</v>
      </c>
      <c r="F5" s="252" t="e">
        <f>#REF!/$E$1</f>
        <v>#REF!</v>
      </c>
      <c r="G5" s="252"/>
      <c r="H5" s="253" t="s">
        <v>675</v>
      </c>
      <c r="I5" s="252" t="e">
        <f>#REF!/$E$1</f>
        <v>#REF!</v>
      </c>
      <c r="J5" s="252"/>
      <c r="K5" s="254" t="e">
        <f>F5-I5-J5</f>
        <v>#REF!</v>
      </c>
      <c r="L5" s="252" t="e">
        <f>#REF!/$E$1</f>
        <v>#REF!</v>
      </c>
      <c r="M5" s="255" t="e">
        <f t="shared" ref="M5:M8" si="0">L5/I5</f>
        <v>#REF!</v>
      </c>
      <c r="N5" s="254" t="e">
        <f>I5+J5-L5</f>
        <v>#REF!</v>
      </c>
    </row>
    <row r="6" spans="3:16" x14ac:dyDescent="0.35">
      <c r="C6" s="912"/>
      <c r="D6" s="915"/>
      <c r="E6" s="251" t="s">
        <v>676</v>
      </c>
      <c r="F6" s="252" t="e">
        <f>#REF!/$E$1</f>
        <v>#REF!</v>
      </c>
      <c r="G6" s="252"/>
      <c r="H6" s="256" t="s">
        <v>675</v>
      </c>
      <c r="I6" s="252" t="e">
        <f>#REF!/$E$1</f>
        <v>#REF!</v>
      </c>
      <c r="J6" s="252"/>
      <c r="K6" s="257" t="e">
        <f t="shared" ref="K6:K16" si="1">F6-I6-J6</f>
        <v>#REF!</v>
      </c>
      <c r="L6" s="252" t="e">
        <f>#REF!/$E$1</f>
        <v>#REF!</v>
      </c>
      <c r="M6" s="258" t="e">
        <f t="shared" si="0"/>
        <v>#REF!</v>
      </c>
      <c r="N6" s="257" t="e">
        <f t="shared" ref="N6:N27" si="2">I6+J6-L6</f>
        <v>#REF!</v>
      </c>
      <c r="P6" s="259"/>
    </row>
    <row r="7" spans="3:16" x14ac:dyDescent="0.35">
      <c r="C7" s="912"/>
      <c r="D7" s="916"/>
      <c r="E7" s="251" t="s">
        <v>677</v>
      </c>
      <c r="F7" s="252" t="e">
        <f>#REF!/$E$1</f>
        <v>#REF!</v>
      </c>
      <c r="G7" s="252">
        <f>2000000/$E$1</f>
        <v>207369.75797731162</v>
      </c>
      <c r="H7" s="256" t="s">
        <v>675</v>
      </c>
      <c r="I7" s="252" t="e">
        <f>#REF!/$E$1</f>
        <v>#REF!</v>
      </c>
      <c r="J7" s="252"/>
      <c r="K7" s="257" t="e">
        <f t="shared" si="1"/>
        <v>#REF!</v>
      </c>
      <c r="L7" s="252" t="e">
        <f>#REF!/$E$1</f>
        <v>#REF!</v>
      </c>
      <c r="M7" s="258" t="e">
        <f t="shared" si="0"/>
        <v>#REF!</v>
      </c>
      <c r="N7" s="257" t="e">
        <f t="shared" si="2"/>
        <v>#REF!</v>
      </c>
    </row>
    <row r="8" spans="3:16" x14ac:dyDescent="0.35">
      <c r="C8" s="912"/>
      <c r="D8" s="260" t="s">
        <v>678</v>
      </c>
      <c r="E8" s="251" t="s">
        <v>679</v>
      </c>
      <c r="F8" s="252" t="e">
        <f>#REF!/$E$1</f>
        <v>#REF!</v>
      </c>
      <c r="G8" s="252"/>
      <c r="H8" s="256" t="s">
        <v>680</v>
      </c>
      <c r="I8" s="252" t="e">
        <f>#REF!/$E$1</f>
        <v>#REF!</v>
      </c>
      <c r="J8" s="252"/>
      <c r="K8" s="257" t="e">
        <f t="shared" si="1"/>
        <v>#REF!</v>
      </c>
      <c r="L8" s="252" t="e">
        <f>#REF!/$E$1</f>
        <v>#REF!</v>
      </c>
      <c r="M8" s="258" t="e">
        <f t="shared" si="0"/>
        <v>#REF!</v>
      </c>
      <c r="N8" s="257" t="e">
        <f t="shared" si="2"/>
        <v>#REF!</v>
      </c>
    </row>
    <row r="9" spans="3:16" x14ac:dyDescent="0.35">
      <c r="C9" s="912"/>
      <c r="D9" s="260" t="s">
        <v>681</v>
      </c>
      <c r="E9" s="278" t="s">
        <v>713</v>
      </c>
      <c r="F9" s="252" t="e">
        <f>#REF!/$E$1</f>
        <v>#REF!</v>
      </c>
      <c r="G9" s="252"/>
      <c r="H9" s="279" t="s">
        <v>682</v>
      </c>
      <c r="I9" s="252" t="e">
        <f>#REF!/$E$1</f>
        <v>#REF!</v>
      </c>
      <c r="J9" s="252" t="e">
        <f>#REF!/$E$1</f>
        <v>#REF!</v>
      </c>
      <c r="K9" s="257" t="e">
        <f t="shared" si="1"/>
        <v>#REF!</v>
      </c>
      <c r="L9" s="252" t="e">
        <f>#REF!/$E$1</f>
        <v>#REF!</v>
      </c>
      <c r="M9" s="258" t="e">
        <f>L9/I9</f>
        <v>#REF!</v>
      </c>
      <c r="N9" s="257" t="e">
        <f t="shared" si="2"/>
        <v>#REF!</v>
      </c>
      <c r="P9" s="261"/>
    </row>
    <row r="10" spans="3:16" x14ac:dyDescent="0.35">
      <c r="C10" s="913"/>
      <c r="D10" s="260" t="s">
        <v>681</v>
      </c>
      <c r="E10" s="251" t="s">
        <v>683</v>
      </c>
      <c r="F10" s="252" t="e">
        <f>#REF!/$E$1</f>
        <v>#REF!</v>
      </c>
      <c r="G10" s="252"/>
      <c r="H10" s="256"/>
      <c r="I10" s="252" t="e">
        <f>#REF!/$E$1</f>
        <v>#REF!</v>
      </c>
      <c r="J10" s="262"/>
      <c r="K10" s="257" t="e">
        <f t="shared" si="1"/>
        <v>#REF!</v>
      </c>
      <c r="L10" s="257"/>
      <c r="M10" s="263" t="s">
        <v>684</v>
      </c>
      <c r="N10" s="257" t="e">
        <f t="shared" si="2"/>
        <v>#REF!</v>
      </c>
    </row>
    <row r="11" spans="3:16" ht="7.5" customHeight="1" x14ac:dyDescent="0.35">
      <c r="F11" s="264"/>
      <c r="G11" s="264"/>
      <c r="H11" s="6"/>
      <c r="I11" s="264"/>
      <c r="J11" s="264"/>
      <c r="K11" s="6"/>
      <c r="L11" s="6"/>
      <c r="M11" s="265"/>
      <c r="N11" s="265"/>
      <c r="P11" s="261"/>
    </row>
    <row r="12" spans="3:16" x14ac:dyDescent="0.35">
      <c r="C12" s="945" t="s">
        <v>711</v>
      </c>
      <c r="D12" s="945"/>
      <c r="E12" s="945"/>
      <c r="F12" s="252" t="e">
        <f>#REF!/$E$1</f>
        <v>#REF!</v>
      </c>
      <c r="G12" s="252"/>
      <c r="H12" s="279" t="s">
        <v>685</v>
      </c>
      <c r="I12" s="252" t="e">
        <f>#REF!/$E$1</f>
        <v>#REF!</v>
      </c>
      <c r="J12" s="252" t="e">
        <f>#REF!/$E$1</f>
        <v>#REF!</v>
      </c>
      <c r="K12" s="257" t="e">
        <f t="shared" si="1"/>
        <v>#REF!</v>
      </c>
      <c r="L12" s="257"/>
      <c r="M12" s="258" t="e">
        <f t="shared" ref="M12:M29" si="3">L12/I12</f>
        <v>#REF!</v>
      </c>
      <c r="N12" s="257" t="e">
        <f t="shared" si="2"/>
        <v>#REF!</v>
      </c>
    </row>
    <row r="13" spans="3:16" x14ac:dyDescent="0.35">
      <c r="C13" s="945" t="s">
        <v>712</v>
      </c>
      <c r="D13" s="945"/>
      <c r="E13" s="945"/>
      <c r="F13" s="252" t="e">
        <f>#REF!/$E$1</f>
        <v>#REF!</v>
      </c>
      <c r="G13" s="252"/>
      <c r="H13" s="279" t="s">
        <v>686</v>
      </c>
      <c r="I13" s="252" t="e">
        <f>#REF!/$E$1</f>
        <v>#REF!</v>
      </c>
      <c r="J13" s="252" t="e">
        <f>#REF!/$E$1</f>
        <v>#REF!</v>
      </c>
      <c r="K13" s="257" t="e">
        <f t="shared" si="1"/>
        <v>#REF!</v>
      </c>
      <c r="L13" s="257"/>
      <c r="M13" s="258" t="e">
        <f t="shared" si="3"/>
        <v>#REF!</v>
      </c>
      <c r="N13" s="257" t="e">
        <f t="shared" si="2"/>
        <v>#REF!</v>
      </c>
      <c r="P13" s="261"/>
    </row>
    <row r="14" spans="3:16" ht="6" customHeight="1" x14ac:dyDescent="0.35">
      <c r="F14" s="264"/>
      <c r="G14" s="264"/>
      <c r="H14" s="6"/>
      <c r="I14" s="264"/>
      <c r="J14" s="264"/>
      <c r="K14" s="6"/>
      <c r="L14" s="6"/>
      <c r="M14" s="265"/>
      <c r="N14" s="6"/>
      <c r="P14" s="261"/>
    </row>
    <row r="15" spans="3:16" ht="15" customHeight="1" x14ac:dyDescent="0.35">
      <c r="C15" s="926" t="s">
        <v>687</v>
      </c>
      <c r="D15" s="911" t="s">
        <v>688</v>
      </c>
      <c r="E15" s="277" t="s">
        <v>703</v>
      </c>
      <c r="F15" s="252" t="e">
        <f>#REF!/$E$1</f>
        <v>#REF!</v>
      </c>
      <c r="G15" s="252"/>
      <c r="H15" s="256" t="s">
        <v>689</v>
      </c>
      <c r="I15" s="270" t="e">
        <f>#REF!/$E$1</f>
        <v>#REF!</v>
      </c>
      <c r="J15" s="252"/>
      <c r="K15" s="257" t="e">
        <f t="shared" si="1"/>
        <v>#REF!</v>
      </c>
      <c r="L15" s="296">
        <v>93316</v>
      </c>
      <c r="M15" s="258" t="e">
        <f t="shared" si="3"/>
        <v>#REF!</v>
      </c>
      <c r="N15" s="257" t="e">
        <f t="shared" si="2"/>
        <v>#REF!</v>
      </c>
    </row>
    <row r="16" spans="3:16" x14ac:dyDescent="0.35">
      <c r="C16" s="926"/>
      <c r="D16" s="912"/>
      <c r="E16" s="277" t="s">
        <v>704</v>
      </c>
      <c r="F16" s="252" t="e">
        <f>#REF!/$E$1</f>
        <v>#REF!</v>
      </c>
      <c r="G16" s="266"/>
      <c r="H16" s="256" t="s">
        <v>690</v>
      </c>
      <c r="I16" s="296" t="e">
        <f>#REF!/$E$1</f>
        <v>#REF!</v>
      </c>
      <c r="J16" s="252"/>
      <c r="K16" s="257" t="e">
        <f t="shared" si="1"/>
        <v>#REF!</v>
      </c>
      <c r="L16" s="252" t="e">
        <f>#REF!/$E$1</f>
        <v>#REF!</v>
      </c>
      <c r="M16" s="258" t="e">
        <f t="shared" si="3"/>
        <v>#REF!</v>
      </c>
      <c r="N16" s="257" t="e">
        <f t="shared" si="2"/>
        <v>#REF!</v>
      </c>
    </row>
    <row r="17" spans="3:16" ht="15" customHeight="1" x14ac:dyDescent="0.35">
      <c r="C17" s="926"/>
      <c r="D17" s="912"/>
      <c r="E17" s="946" t="s">
        <v>705</v>
      </c>
      <c r="F17" s="939" t="e">
        <f>#REF!/E1</f>
        <v>#REF!</v>
      </c>
      <c r="G17" s="267"/>
      <c r="H17" s="279" t="s">
        <v>691</v>
      </c>
      <c r="I17" s="252" t="e">
        <f>#REF!/$E$1</f>
        <v>#REF!</v>
      </c>
      <c r="J17" s="252"/>
      <c r="K17" s="931" t="e">
        <f>SUM(F17:F21)-SUM(I17:I21)-SUM(J17:J21)</f>
        <v>#REF!</v>
      </c>
      <c r="L17" s="252" t="e">
        <f>#REF!/$E$1</f>
        <v>#REF!</v>
      </c>
      <c r="M17" s="258" t="e">
        <f t="shared" si="3"/>
        <v>#REF!</v>
      </c>
      <c r="N17" s="257" t="e">
        <f t="shared" si="2"/>
        <v>#REF!</v>
      </c>
    </row>
    <row r="18" spans="3:16" x14ac:dyDescent="0.35">
      <c r="C18" s="926"/>
      <c r="D18" s="912"/>
      <c r="E18" s="947"/>
      <c r="F18" s="944"/>
      <c r="G18" s="268"/>
      <c r="H18" s="256" t="s">
        <v>692</v>
      </c>
      <c r="I18" s="296" t="e">
        <f>#REF!/$E$1</f>
        <v>#REF!</v>
      </c>
      <c r="J18" s="252"/>
      <c r="K18" s="932"/>
      <c r="L18" s="252" t="e">
        <f>#REF!/$E$1</f>
        <v>#REF!</v>
      </c>
      <c r="M18" s="258" t="e">
        <f t="shared" si="3"/>
        <v>#REF!</v>
      </c>
      <c r="N18" s="257" t="e">
        <f t="shared" si="2"/>
        <v>#REF!</v>
      </c>
    </row>
    <row r="19" spans="3:16" x14ac:dyDescent="0.35">
      <c r="C19" s="926"/>
      <c r="D19" s="912"/>
      <c r="E19" s="947"/>
      <c r="F19" s="940"/>
      <c r="G19" s="269"/>
      <c r="H19" s="256" t="s">
        <v>693</v>
      </c>
      <c r="I19" s="270" t="e">
        <f>#REF!/$E$1</f>
        <v>#REF!</v>
      </c>
      <c r="J19" s="252"/>
      <c r="K19" s="932"/>
      <c r="L19" s="252" t="e">
        <f>#REF!/$E$1</f>
        <v>#REF!</v>
      </c>
      <c r="M19" s="258" t="e">
        <f t="shared" si="3"/>
        <v>#REF!</v>
      </c>
      <c r="N19" s="257" t="e">
        <f t="shared" si="2"/>
        <v>#REF!</v>
      </c>
      <c r="P19" s="271"/>
    </row>
    <row r="20" spans="3:16" x14ac:dyDescent="0.35">
      <c r="C20" s="926"/>
      <c r="D20" s="912"/>
      <c r="E20" s="947"/>
      <c r="F20" s="269"/>
      <c r="G20" s="269">
        <f>22072.36/$E$1</f>
        <v>2288.5699755940468</v>
      </c>
      <c r="H20" s="256" t="s">
        <v>694</v>
      </c>
      <c r="I20" s="270" t="e">
        <f>#REF!/$E$1</f>
        <v>#REF!</v>
      </c>
      <c r="J20" s="272"/>
      <c r="K20" s="932"/>
      <c r="L20" s="252" t="e">
        <f>#REF!/$E$1</f>
        <v>#REF!</v>
      </c>
      <c r="M20" s="258" t="e">
        <f t="shared" si="3"/>
        <v>#REF!</v>
      </c>
      <c r="N20" s="257" t="e">
        <f t="shared" si="2"/>
        <v>#REF!</v>
      </c>
    </row>
    <row r="21" spans="3:16" x14ac:dyDescent="0.35">
      <c r="C21" s="926"/>
      <c r="D21" s="912"/>
      <c r="E21" s="948"/>
      <c r="F21" s="269"/>
      <c r="G21" s="269">
        <f>27251.2/$E$1</f>
        <v>2825.5373742956572</v>
      </c>
      <c r="H21" s="256" t="s">
        <v>695</v>
      </c>
      <c r="I21" s="270" t="e">
        <f>#REF!/$E$1</f>
        <v>#REF!</v>
      </c>
      <c r="J21" s="272"/>
      <c r="K21" s="933"/>
      <c r="L21" s="252" t="e">
        <f>#REF!/$E$1</f>
        <v>#REF!</v>
      </c>
      <c r="M21" s="258" t="e">
        <f t="shared" si="3"/>
        <v>#REF!</v>
      </c>
      <c r="N21" s="257" t="e">
        <f t="shared" si="2"/>
        <v>#REF!</v>
      </c>
    </row>
    <row r="22" spans="3:16" x14ac:dyDescent="0.35">
      <c r="C22" s="926"/>
      <c r="D22" s="912"/>
      <c r="E22" s="277" t="s">
        <v>706</v>
      </c>
      <c r="F22" s="266" t="e">
        <f>#REF!/$E$1</f>
        <v>#REF!</v>
      </c>
      <c r="G22" s="266"/>
      <c r="H22" s="253" t="s">
        <v>696</v>
      </c>
      <c r="I22" s="270" t="e">
        <f>#REF!/$E$1</f>
        <v>#REF!</v>
      </c>
      <c r="J22" s="252"/>
      <c r="K22" s="254" t="e">
        <f t="shared" ref="K22:K25" si="4">F22-I22-J22</f>
        <v>#REF!</v>
      </c>
      <c r="L22" s="252" t="e">
        <f>#REF!/$E$1</f>
        <v>#REF!</v>
      </c>
      <c r="M22" s="255" t="e">
        <f t="shared" si="3"/>
        <v>#REF!</v>
      </c>
      <c r="N22" s="254" t="e">
        <f t="shared" si="2"/>
        <v>#REF!</v>
      </c>
    </row>
    <row r="23" spans="3:16" ht="15" customHeight="1" x14ac:dyDescent="0.35">
      <c r="C23" s="926"/>
      <c r="D23" s="934" t="s">
        <v>697</v>
      </c>
      <c r="E23" s="277" t="s">
        <v>697</v>
      </c>
      <c r="F23" s="266" t="e">
        <f>#REF!/$E$1</f>
        <v>#REF!</v>
      </c>
      <c r="G23" s="266"/>
      <c r="H23" s="253"/>
      <c r="I23" s="252" t="e">
        <f>#REF!/$E$1</f>
        <v>#REF!</v>
      </c>
      <c r="J23" s="252"/>
      <c r="K23" s="254" t="e">
        <f t="shared" si="4"/>
        <v>#REF!</v>
      </c>
      <c r="L23" s="296">
        <v>10368</v>
      </c>
      <c r="M23" s="255" t="e">
        <f t="shared" si="3"/>
        <v>#REF!</v>
      </c>
      <c r="N23" s="254" t="e">
        <f t="shared" si="2"/>
        <v>#REF!</v>
      </c>
    </row>
    <row r="24" spans="3:16" x14ac:dyDescent="0.35">
      <c r="C24" s="926"/>
      <c r="D24" s="935"/>
      <c r="E24" s="277" t="s">
        <v>708</v>
      </c>
      <c r="F24" s="266" t="e">
        <f>#REF!/$E$1</f>
        <v>#REF!</v>
      </c>
      <c r="G24" s="266"/>
      <c r="H24" s="253" t="s">
        <v>698</v>
      </c>
      <c r="I24" s="270" t="e">
        <f>#REF!/$E$1</f>
        <v>#REF!</v>
      </c>
      <c r="J24" s="252"/>
      <c r="K24" s="254" t="e">
        <f t="shared" si="4"/>
        <v>#REF!</v>
      </c>
      <c r="L24" s="252" t="e">
        <f>#REF!/$E$1</f>
        <v>#REF!</v>
      </c>
      <c r="M24" s="255" t="e">
        <f t="shared" si="3"/>
        <v>#REF!</v>
      </c>
      <c r="N24" s="254" t="e">
        <f t="shared" si="2"/>
        <v>#REF!</v>
      </c>
    </row>
    <row r="25" spans="3:16" x14ac:dyDescent="0.35">
      <c r="C25" s="926"/>
      <c r="D25" s="935"/>
      <c r="E25" s="277" t="s">
        <v>709</v>
      </c>
      <c r="F25" s="266" t="e">
        <f>#REF!/$E$1</f>
        <v>#REF!</v>
      </c>
      <c r="G25" s="266"/>
      <c r="H25" s="253" t="s">
        <v>699</v>
      </c>
      <c r="I25" s="270" t="e">
        <f>#REF!/$E$1</f>
        <v>#REF!</v>
      </c>
      <c r="J25" s="252"/>
      <c r="K25" s="254" t="e">
        <f t="shared" si="4"/>
        <v>#REF!</v>
      </c>
      <c r="L25" s="252" t="e">
        <f>#REF!/$E$1</f>
        <v>#REF!</v>
      </c>
      <c r="M25" s="255" t="e">
        <f t="shared" si="3"/>
        <v>#REF!</v>
      </c>
      <c r="N25" s="254" t="e">
        <f t="shared" si="2"/>
        <v>#REF!</v>
      </c>
    </row>
    <row r="26" spans="3:16" x14ac:dyDescent="0.35">
      <c r="C26" s="926"/>
      <c r="D26" s="935"/>
      <c r="E26" s="949" t="s">
        <v>710</v>
      </c>
      <c r="F26" s="939" t="e">
        <f>#REF!/$E$1</f>
        <v>#REF!</v>
      </c>
      <c r="G26" s="266"/>
      <c r="H26" s="253" t="s">
        <v>700</v>
      </c>
      <c r="I26" s="270" t="e">
        <f>#REF!/$E$1</f>
        <v>#REF!</v>
      </c>
      <c r="J26" s="252"/>
      <c r="K26" s="941" t="e">
        <f>SUM(F26)-SUM(I26:I27)-SUM(J26:J27)</f>
        <v>#REF!</v>
      </c>
      <c r="L26" s="252" t="e">
        <f>#REF!/$E$1</f>
        <v>#REF!</v>
      </c>
      <c r="M26" s="255" t="e">
        <f t="shared" si="3"/>
        <v>#REF!</v>
      </c>
      <c r="N26" s="254" t="e">
        <f t="shared" si="2"/>
        <v>#REF!</v>
      </c>
    </row>
    <row r="27" spans="3:16" x14ac:dyDescent="0.35">
      <c r="C27" s="926"/>
      <c r="D27" s="936"/>
      <c r="E27" s="950"/>
      <c r="F27" s="940"/>
      <c r="G27" s="266">
        <f>49742/$E$1</f>
        <v>5157.493250653717</v>
      </c>
      <c r="H27" s="253" t="s">
        <v>701</v>
      </c>
      <c r="I27" s="270" t="e">
        <f>#REF!/$E$1</f>
        <v>#REF!</v>
      </c>
      <c r="J27" s="266"/>
      <c r="K27" s="942"/>
      <c r="L27" s="252" t="e">
        <f>#REF!/$E$1</f>
        <v>#REF!</v>
      </c>
      <c r="M27" s="255" t="e">
        <f t="shared" si="3"/>
        <v>#REF!</v>
      </c>
      <c r="N27" s="254" t="e">
        <f t="shared" si="2"/>
        <v>#REF!</v>
      </c>
    </row>
    <row r="28" spans="3:16" ht="6" customHeight="1" x14ac:dyDescent="0.35"/>
    <row r="29" spans="3:16" x14ac:dyDescent="0.35">
      <c r="C29" s="943" t="s">
        <v>319</v>
      </c>
      <c r="D29" s="943"/>
      <c r="E29" s="943"/>
      <c r="F29" s="273" t="e">
        <f>SUM(F5:F28)</f>
        <v>#REF!</v>
      </c>
      <c r="G29" s="273">
        <f>SUM(G5:G28)</f>
        <v>217641.35857785505</v>
      </c>
      <c r="H29" s="274" t="s">
        <v>702</v>
      </c>
      <c r="I29" s="273" t="e">
        <f>SUM(I5:I28)</f>
        <v>#REF!</v>
      </c>
      <c r="J29" s="273" t="e">
        <f>SUM(J5:J28)</f>
        <v>#REF!</v>
      </c>
      <c r="K29" s="275" t="e">
        <f>SUM(K5:K28)</f>
        <v>#REF!</v>
      </c>
      <c r="L29" s="273" t="e">
        <f t="shared" ref="L29:N29" si="5">SUM(L5:L28)</f>
        <v>#REF!</v>
      </c>
      <c r="M29" s="276" t="e">
        <f t="shared" si="3"/>
        <v>#REF!</v>
      </c>
      <c r="N29" s="273" t="e">
        <f t="shared" si="5"/>
        <v>#REF!</v>
      </c>
    </row>
    <row r="30" spans="3:16" ht="3.75" customHeight="1" x14ac:dyDescent="0.35"/>
    <row r="31" spans="3:16" x14ac:dyDescent="0.35">
      <c r="F31" s="259"/>
      <c r="G31" s="259"/>
      <c r="H31" s="259"/>
      <c r="I31" s="259"/>
      <c r="J31" s="259"/>
      <c r="K31" s="259"/>
      <c r="L31" s="259"/>
      <c r="M31" s="259"/>
      <c r="N31" s="259"/>
    </row>
  </sheetData>
  <mergeCells count="24">
    <mergeCell ref="K17:K21"/>
    <mergeCell ref="D23:D27"/>
    <mergeCell ref="E26:E27"/>
    <mergeCell ref="F26:F27"/>
    <mergeCell ref="K26:K27"/>
    <mergeCell ref="F17:F19"/>
    <mergeCell ref="C29:E29"/>
    <mergeCell ref="C12:E12"/>
    <mergeCell ref="C13:E13"/>
    <mergeCell ref="C15:C27"/>
    <mergeCell ref="D15:D22"/>
    <mergeCell ref="E17:E21"/>
    <mergeCell ref="K3:K4"/>
    <mergeCell ref="L3:L4"/>
    <mergeCell ref="M3:M4"/>
    <mergeCell ref="N3:N4"/>
    <mergeCell ref="C5:C10"/>
    <mergeCell ref="D5:D7"/>
    <mergeCell ref="C3:D4"/>
    <mergeCell ref="E3:E4"/>
    <mergeCell ref="F3:F4"/>
    <mergeCell ref="G3:G4"/>
    <mergeCell ref="H3:H4"/>
    <mergeCell ref="I3:J3"/>
  </mergeCells>
  <pageMargins left="0.27559055118110237" right="0.19685039370078741" top="0.47244094488188981" bottom="0.5118110236220472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S31"/>
  <sheetViews>
    <sheetView showGridLines="0" view="pageBreakPreview" zoomScale="80" zoomScaleSheetLayoutView="80" workbookViewId="0">
      <selection activeCell="F20" sqref="F20"/>
    </sheetView>
  </sheetViews>
  <sheetFormatPr defaultColWidth="11.54296875" defaultRowHeight="14.5" x14ac:dyDescent="0.35"/>
  <cols>
    <col min="1" max="1" width="1.453125" customWidth="1"/>
    <col min="2" max="2" width="4.453125" customWidth="1"/>
    <col min="3" max="3" width="7.453125" customWidth="1"/>
    <col min="4" max="4" width="35.81640625" customWidth="1"/>
    <col min="5" max="5" width="12.453125" customWidth="1"/>
    <col min="6" max="6" width="18.453125" customWidth="1"/>
    <col min="7" max="7" width="12.54296875" customWidth="1"/>
    <col min="8" max="8" width="9.54296875" customWidth="1"/>
    <col min="9" max="9" width="11.453125" bestFit="1" customWidth="1"/>
    <col min="10" max="10" width="9.54296875" customWidth="1"/>
    <col min="11" max="11" width="9.7265625" style="249" customWidth="1"/>
    <col min="12" max="12" width="8.453125" style="265" bestFit="1" customWidth="1"/>
    <col min="13" max="15" width="10.54296875" customWidth="1"/>
    <col min="16" max="16" width="5.1796875" customWidth="1"/>
    <col min="17" max="17" width="12.81640625" bestFit="1" customWidth="1"/>
    <col min="18" max="18" width="14.453125" style="271" bestFit="1" customWidth="1"/>
    <col min="19" max="19" width="12.81640625" bestFit="1" customWidth="1"/>
  </cols>
  <sheetData>
    <row r="1" spans="2:19" ht="18.75" customHeight="1" thickBot="1" x14ac:dyDescent="0.4">
      <c r="B1" s="594" t="s">
        <v>1247</v>
      </c>
      <c r="Q1" s="558">
        <v>9.6446078710224494</v>
      </c>
    </row>
    <row r="2" spans="2:19" ht="15" customHeight="1" x14ac:dyDescent="0.35">
      <c r="B2" s="959" t="s">
        <v>660</v>
      </c>
      <c r="C2" s="960"/>
      <c r="D2" s="963" t="s">
        <v>661</v>
      </c>
      <c r="E2" s="965" t="s">
        <v>662</v>
      </c>
      <c r="F2" s="965" t="s">
        <v>1225</v>
      </c>
      <c r="G2" s="967" t="s">
        <v>665</v>
      </c>
      <c r="H2" s="968"/>
      <c r="I2" s="969" t="s">
        <v>666</v>
      </c>
      <c r="J2" s="951" t="s">
        <v>1226</v>
      </c>
      <c r="K2" s="953" t="s">
        <v>1227</v>
      </c>
      <c r="L2" s="955" t="s">
        <v>1228</v>
      </c>
      <c r="M2" s="957" t="s">
        <v>1229</v>
      </c>
      <c r="N2" s="971" t="s">
        <v>668</v>
      </c>
      <c r="O2" s="973" t="s">
        <v>1230</v>
      </c>
    </row>
    <row r="3" spans="2:19" ht="22.5" customHeight="1" thickBot="1" x14ac:dyDescent="0.4">
      <c r="B3" s="961"/>
      <c r="C3" s="962"/>
      <c r="D3" s="964"/>
      <c r="E3" s="966"/>
      <c r="F3" s="966"/>
      <c r="G3" s="595" t="s">
        <v>1231</v>
      </c>
      <c r="H3" s="595" t="s">
        <v>671</v>
      </c>
      <c r="I3" s="970"/>
      <c r="J3" s="952"/>
      <c r="K3" s="954"/>
      <c r="L3" s="956"/>
      <c r="M3" s="958"/>
      <c r="N3" s="972"/>
      <c r="O3" s="974"/>
    </row>
    <row r="4" spans="2:19" ht="15" customHeight="1" x14ac:dyDescent="0.35">
      <c r="B4" s="975" t="s">
        <v>672</v>
      </c>
      <c r="C4" s="768" t="s">
        <v>1185</v>
      </c>
      <c r="D4" s="843" t="s">
        <v>676</v>
      </c>
      <c r="E4" s="978">
        <f>'[7]Suivi des réalisations'!S11+'[7]Suivi des réalisations'!S25+'[7]Suivi des réalisations'!S35</f>
        <v>7452000</v>
      </c>
      <c r="F4" s="846" t="s">
        <v>675</v>
      </c>
      <c r="G4" s="849">
        <f>'[7]Suivi des réalisations'!T36+'[7]Suivi des réalisations'!T25</f>
        <v>3000000</v>
      </c>
      <c r="H4" s="769"/>
      <c r="I4" s="980">
        <f>E4-SUM(G4:H5)</f>
        <v>-313600</v>
      </c>
      <c r="J4" s="770"/>
      <c r="K4" s="771">
        <f>'[7]Extrait de Compte'!H137</f>
        <v>3000000</v>
      </c>
      <c r="L4" s="772"/>
      <c r="M4" s="773">
        <f>G4-J4</f>
        <v>3000000</v>
      </c>
      <c r="N4" s="774">
        <f>SUM(J4:L4)/G4</f>
        <v>1</v>
      </c>
      <c r="O4" s="775">
        <f>G4-SUM(J4:L4)</f>
        <v>0</v>
      </c>
      <c r="Q4" s="838">
        <f>SUM(K4)/$Q$1</f>
        <v>311054.63696596742</v>
      </c>
    </row>
    <row r="5" spans="2:19" x14ac:dyDescent="0.35">
      <c r="B5" s="976"/>
      <c r="C5" s="776" t="s">
        <v>1186</v>
      </c>
      <c r="D5" s="844" t="s">
        <v>677</v>
      </c>
      <c r="E5" s="979"/>
      <c r="F5" s="847" t="s">
        <v>1187</v>
      </c>
      <c r="G5" s="848">
        <f>'[7]Suivi des réalisations'!T12+'[7]Suivi des réalisations'!T35+'[7]Suivi des réalisations'!T26</f>
        <v>4765600</v>
      </c>
      <c r="H5" s="597"/>
      <c r="I5" s="981"/>
      <c r="J5" s="777"/>
      <c r="K5" s="778">
        <f>'[7]Extrait de Compte'!H136</f>
        <v>4765600</v>
      </c>
      <c r="L5" s="779"/>
      <c r="M5" s="780">
        <f t="shared" ref="M5:M22" si="0">G5-J5</f>
        <v>4765600</v>
      </c>
      <c r="N5" s="781">
        <f t="shared" ref="N5:N9" si="1">SUM(J5:L5)/G5</f>
        <v>1</v>
      </c>
      <c r="O5" s="782">
        <f t="shared" ref="O5:O9" si="2">G5-SUM(J5:L5)</f>
        <v>0</v>
      </c>
      <c r="Q5" s="838">
        <f t="shared" ref="Q5:Q6" si="3">SUM(K5)/$Q$1</f>
        <v>494120.65930833813</v>
      </c>
    </row>
    <row r="6" spans="2:19" ht="24" x14ac:dyDescent="0.35">
      <c r="B6" s="976"/>
      <c r="C6" s="783" t="s">
        <v>1188</v>
      </c>
      <c r="D6" s="845" t="s">
        <v>1189</v>
      </c>
      <c r="E6" s="786">
        <f>'[7]Suivi des réalisations'!S31+'[7]Suivi des réalisations'!S40</f>
        <v>4935353</v>
      </c>
      <c r="F6" s="847" t="s">
        <v>1232</v>
      </c>
      <c r="G6" s="848">
        <v>4821650</v>
      </c>
      <c r="H6" s="597"/>
      <c r="I6" s="784">
        <f>E6-(G6+H6)</f>
        <v>113703</v>
      </c>
      <c r="J6" s="777"/>
      <c r="K6" s="778">
        <f>'[7]Eng-Paie-PTBA3-2019(mars20)'!$K$6</f>
        <v>4821650</v>
      </c>
      <c r="L6" s="779"/>
      <c r="M6" s="780">
        <f t="shared" si="0"/>
        <v>4821650</v>
      </c>
      <c r="N6" s="781">
        <f t="shared" si="1"/>
        <v>1</v>
      </c>
      <c r="O6" s="782">
        <f t="shared" si="2"/>
        <v>0</v>
      </c>
      <c r="Q6" s="838">
        <f t="shared" si="3"/>
        <v>499932.19677565229</v>
      </c>
    </row>
    <row r="7" spans="2:19" ht="24.5" x14ac:dyDescent="0.35">
      <c r="B7" s="976"/>
      <c r="C7" s="785" t="s">
        <v>678</v>
      </c>
      <c r="D7" s="839" t="s">
        <v>1233</v>
      </c>
      <c r="E7" s="786">
        <f>+'[7]Suivi des réalisations'!S27</f>
        <v>938700</v>
      </c>
      <c r="F7" s="840" t="s">
        <v>1234</v>
      </c>
      <c r="G7" s="841">
        <v>929400</v>
      </c>
      <c r="H7" s="601">
        <f>G7*1%</f>
        <v>9294</v>
      </c>
      <c r="I7" s="784">
        <f t="shared" ref="I7:I9" si="4">E7-(G7+H7)</f>
        <v>6</v>
      </c>
      <c r="J7" s="788"/>
      <c r="K7" s="789">
        <v>0</v>
      </c>
      <c r="L7" s="790"/>
      <c r="M7" s="791">
        <f t="shared" si="0"/>
        <v>929400</v>
      </c>
      <c r="N7" s="781">
        <f t="shared" si="1"/>
        <v>0</v>
      </c>
      <c r="O7" s="782">
        <f t="shared" si="2"/>
        <v>929400</v>
      </c>
      <c r="Q7" s="567">
        <f t="shared" ref="Q7:Q25" si="5">SUM(G7)/$Q$1</f>
        <v>96364.726532056709</v>
      </c>
    </row>
    <row r="8" spans="2:19" ht="24.5" x14ac:dyDescent="0.35">
      <c r="B8" s="976"/>
      <c r="C8" s="785" t="s">
        <v>1182</v>
      </c>
      <c r="D8" s="839" t="s">
        <v>1235</v>
      </c>
      <c r="E8" s="786">
        <f>'[7]Suivi des réalisations'!S46</f>
        <v>443000</v>
      </c>
      <c r="F8" s="840" t="s">
        <v>1236</v>
      </c>
      <c r="G8" s="841">
        <v>438000</v>
      </c>
      <c r="H8" s="601">
        <f>G8*1%</f>
        <v>4380</v>
      </c>
      <c r="I8" s="784">
        <f t="shared" si="4"/>
        <v>620</v>
      </c>
      <c r="J8" s="788"/>
      <c r="K8" s="789">
        <v>0</v>
      </c>
      <c r="L8" s="790"/>
      <c r="M8" s="791">
        <f t="shared" si="0"/>
        <v>438000</v>
      </c>
      <c r="N8" s="781">
        <f t="shared" si="1"/>
        <v>0</v>
      </c>
      <c r="O8" s="782">
        <f t="shared" si="2"/>
        <v>438000</v>
      </c>
      <c r="Q8" s="567">
        <f t="shared" si="5"/>
        <v>45413.976997031241</v>
      </c>
    </row>
    <row r="9" spans="2:19" ht="24.5" x14ac:dyDescent="0.35">
      <c r="B9" s="976"/>
      <c r="C9" s="785" t="s">
        <v>1182</v>
      </c>
      <c r="D9" s="839" t="s">
        <v>1237</v>
      </c>
      <c r="E9" s="786">
        <f>'[7]Suivi des réalisations'!S54</f>
        <v>251000</v>
      </c>
      <c r="F9" s="840" t="s">
        <v>1238</v>
      </c>
      <c r="G9" s="841">
        <v>248160</v>
      </c>
      <c r="H9" s="601">
        <f>G9*1%</f>
        <v>2481.6</v>
      </c>
      <c r="I9" s="784">
        <f t="shared" si="4"/>
        <v>358.39999999999418</v>
      </c>
      <c r="J9" s="788"/>
      <c r="K9" s="789">
        <v>0</v>
      </c>
      <c r="L9" s="790"/>
      <c r="M9" s="791">
        <f t="shared" si="0"/>
        <v>248160</v>
      </c>
      <c r="N9" s="781">
        <f t="shared" si="1"/>
        <v>0</v>
      </c>
      <c r="O9" s="782">
        <f t="shared" si="2"/>
        <v>248160</v>
      </c>
      <c r="Q9" s="567">
        <f t="shared" si="5"/>
        <v>25730.439569824826</v>
      </c>
    </row>
    <row r="10" spans="2:19" x14ac:dyDescent="0.35">
      <c r="B10" s="976"/>
      <c r="C10" s="982" t="s">
        <v>1239</v>
      </c>
      <c r="D10" s="842" t="s">
        <v>1124</v>
      </c>
      <c r="E10" s="601">
        <f>'[7]Suivi des réalisations'!S49</f>
        <v>150000</v>
      </c>
      <c r="F10" s="985" t="s">
        <v>1240</v>
      </c>
      <c r="G10" s="988">
        <v>339720</v>
      </c>
      <c r="H10" s="991">
        <f>G10*1%</f>
        <v>3397.2000000000003</v>
      </c>
      <c r="I10" s="994">
        <f>SUM(E10:E12)-(G10+H10)</f>
        <v>6882.7999999999884</v>
      </c>
      <c r="J10" s="996"/>
      <c r="K10" s="997">
        <f>+G10</f>
        <v>339720</v>
      </c>
      <c r="L10" s="998"/>
      <c r="M10" s="999">
        <f>G10-J10</f>
        <v>339720</v>
      </c>
      <c r="N10" s="1000">
        <f>SUM(J10:L12)/SUM(G10:G12)</f>
        <v>1</v>
      </c>
      <c r="O10" s="1001">
        <f>SUM(G10:G12)-SUM(J10:L12)</f>
        <v>0</v>
      </c>
      <c r="Q10" s="567">
        <f t="shared" si="5"/>
        <v>35223.827090026149</v>
      </c>
    </row>
    <row r="11" spans="2:19" x14ac:dyDescent="0.35">
      <c r="B11" s="976"/>
      <c r="C11" s="983"/>
      <c r="D11" s="842" t="s">
        <v>1127</v>
      </c>
      <c r="E11" s="601">
        <f>'[7]Suivi des réalisations'!S51</f>
        <v>100000</v>
      </c>
      <c r="F11" s="986"/>
      <c r="G11" s="989"/>
      <c r="H11" s="992"/>
      <c r="I11" s="995"/>
      <c r="J11" s="996"/>
      <c r="K11" s="997"/>
      <c r="L11" s="998"/>
      <c r="M11" s="999"/>
      <c r="N11" s="1000"/>
      <c r="O11" s="1001"/>
      <c r="Q11" s="561"/>
      <c r="R11" s="271">
        <f>G11/Q1</f>
        <v>0</v>
      </c>
    </row>
    <row r="12" spans="2:19" ht="24.5" x14ac:dyDescent="0.35">
      <c r="B12" s="976"/>
      <c r="C12" s="984"/>
      <c r="D12" s="842" t="s">
        <v>1134</v>
      </c>
      <c r="E12" s="601">
        <f>'[7]Suivi des réalisations'!S56</f>
        <v>100000</v>
      </c>
      <c r="F12" s="987"/>
      <c r="G12" s="990"/>
      <c r="H12" s="993"/>
      <c r="I12" s="980"/>
      <c r="J12" s="996"/>
      <c r="K12" s="997"/>
      <c r="L12" s="998"/>
      <c r="M12" s="999"/>
      <c r="N12" s="1000"/>
      <c r="O12" s="1001"/>
      <c r="Q12" s="561"/>
    </row>
    <row r="13" spans="2:19" ht="18.75" customHeight="1" x14ac:dyDescent="0.35">
      <c r="B13" s="976"/>
      <c r="C13" s="1002" t="s">
        <v>681</v>
      </c>
      <c r="D13" s="1004" t="s">
        <v>1138</v>
      </c>
      <c r="E13" s="1006">
        <f>'[7]Suivi des réalisations'!S59</f>
        <v>867000</v>
      </c>
      <c r="F13" s="840" t="s">
        <v>1241</v>
      </c>
      <c r="G13" s="841">
        <v>191520</v>
      </c>
      <c r="H13" s="601">
        <f t="shared" ref="H13:H14" si="6">G13*1%</f>
        <v>1915.2</v>
      </c>
      <c r="I13" s="981">
        <f>E13-SUM(G13:H14)</f>
        <v>904.80000000004657</v>
      </c>
      <c r="J13" s="788"/>
      <c r="K13" s="792">
        <v>0</v>
      </c>
      <c r="L13" s="793"/>
      <c r="M13" s="791">
        <f t="shared" ref="M13:M14" si="7">G13-J13</f>
        <v>191520</v>
      </c>
      <c r="N13" s="781">
        <f t="shared" ref="N13:N14" si="8">SUM(J13:L13)/G13</f>
        <v>0</v>
      </c>
      <c r="O13" s="782">
        <f t="shared" ref="O13:O14" si="9">G13-SUM(J13:L13)</f>
        <v>191520</v>
      </c>
      <c r="Q13" s="567">
        <f t="shared" si="5"/>
        <v>19857.728023907359</v>
      </c>
      <c r="S13" s="602"/>
    </row>
    <row r="14" spans="2:19" ht="15" thickBot="1" x14ac:dyDescent="0.4">
      <c r="B14" s="977"/>
      <c r="C14" s="1003"/>
      <c r="D14" s="1005"/>
      <c r="E14" s="1007"/>
      <c r="F14" s="850" t="s">
        <v>1242</v>
      </c>
      <c r="G14" s="851">
        <v>666000</v>
      </c>
      <c r="H14" s="600">
        <f t="shared" si="6"/>
        <v>6660</v>
      </c>
      <c r="I14" s="1008"/>
      <c r="J14" s="795"/>
      <c r="K14" s="796">
        <v>0</v>
      </c>
      <c r="L14" s="797"/>
      <c r="M14" s="798">
        <f t="shared" si="7"/>
        <v>666000</v>
      </c>
      <c r="N14" s="799">
        <f t="shared" si="8"/>
        <v>0</v>
      </c>
      <c r="O14" s="800">
        <f t="shared" si="9"/>
        <v>666000</v>
      </c>
      <c r="Q14" s="567">
        <f t="shared" si="5"/>
        <v>69054.129406444772</v>
      </c>
      <c r="R14" s="271">
        <v>0</v>
      </c>
      <c r="S14" s="602"/>
    </row>
    <row r="15" spans="2:19" ht="15" thickBot="1" x14ac:dyDescent="0.4">
      <c r="E15" s="6"/>
      <c r="F15" s="6"/>
      <c r="G15" s="504"/>
      <c r="H15" s="558"/>
      <c r="I15" s="558"/>
      <c r="K15"/>
      <c r="L15"/>
      <c r="N15" s="6"/>
      <c r="Q15" s="561">
        <f t="shared" si="5"/>
        <v>0</v>
      </c>
    </row>
    <row r="16" spans="2:19" ht="15" thickBot="1" x14ac:dyDescent="0.4">
      <c r="B16" s="1009" t="s">
        <v>774</v>
      </c>
      <c r="C16" s="1009"/>
      <c r="D16" s="1009"/>
      <c r="E16" s="801">
        <f>'[7]Suivi des réalisations'!S69</f>
        <v>243000</v>
      </c>
      <c r="F16" s="853" t="s">
        <v>1243</v>
      </c>
      <c r="G16" s="854">
        <v>240000</v>
      </c>
      <c r="H16" s="599">
        <f>G16*1%</f>
        <v>2400</v>
      </c>
      <c r="I16" s="802">
        <f t="shared" ref="I16" si="10">E16-(G16+H16)</f>
        <v>600</v>
      </c>
      <c r="J16" s="803"/>
      <c r="K16" s="804">
        <v>0</v>
      </c>
      <c r="L16" s="805"/>
      <c r="M16" s="806">
        <f t="shared" si="0"/>
        <v>240000</v>
      </c>
      <c r="N16" s="807">
        <f>SUM(J16:L16)/G16</f>
        <v>0</v>
      </c>
      <c r="O16" s="808">
        <f>G16-SUM(J16:L16)</f>
        <v>240000</v>
      </c>
      <c r="Q16" s="567">
        <f t="shared" si="5"/>
        <v>24884.370957277395</v>
      </c>
    </row>
    <row r="17" spans="2:19" ht="15" thickBot="1" x14ac:dyDescent="0.4">
      <c r="E17" s="6"/>
      <c r="F17" s="6"/>
      <c r="G17" s="504"/>
      <c r="H17" s="558"/>
      <c r="I17" s="558"/>
      <c r="K17"/>
      <c r="L17"/>
      <c r="N17" s="6"/>
      <c r="Q17" s="561">
        <f t="shared" si="5"/>
        <v>0</v>
      </c>
    </row>
    <row r="18" spans="2:19" x14ac:dyDescent="0.35">
      <c r="B18" s="1014" t="s">
        <v>687</v>
      </c>
      <c r="C18" s="1014"/>
      <c r="D18" s="1015" t="s">
        <v>787</v>
      </c>
      <c r="E18" s="1017">
        <f>'[7]Suivi des réalisations'!S79</f>
        <v>400000</v>
      </c>
      <c r="F18" s="852" t="s">
        <v>1244</v>
      </c>
      <c r="G18" s="855">
        <v>289200</v>
      </c>
      <c r="H18" s="606">
        <f>G18*1%</f>
        <v>2892</v>
      </c>
      <c r="I18" s="1018">
        <f>E18-SUM(G18:H19)</f>
        <v>11966.080000000016</v>
      </c>
      <c r="J18" s="1010"/>
      <c r="K18" s="809">
        <v>0</v>
      </c>
      <c r="L18" s="810">
        <f>+G18</f>
        <v>289200</v>
      </c>
      <c r="M18" s="811">
        <f t="shared" si="0"/>
        <v>289200</v>
      </c>
      <c r="N18" s="812">
        <f>SUM(J18:L18)/G18</f>
        <v>1</v>
      </c>
      <c r="O18" s="813">
        <f>G18-SUM(J18:L18)</f>
        <v>0</v>
      </c>
      <c r="Q18" s="567">
        <f t="shared" si="5"/>
        <v>29985.667003519258</v>
      </c>
    </row>
    <row r="19" spans="2:19" x14ac:dyDescent="0.35">
      <c r="B19" s="976"/>
      <c r="C19" s="976"/>
      <c r="D19" s="1016"/>
      <c r="E19" s="993"/>
      <c r="F19" s="840" t="s">
        <v>1245</v>
      </c>
      <c r="G19" s="856">
        <v>94992</v>
      </c>
      <c r="H19" s="601">
        <f>G19*1%</f>
        <v>949.92000000000007</v>
      </c>
      <c r="I19" s="981"/>
      <c r="J19" s="1011"/>
      <c r="K19" s="814">
        <f>G19</f>
        <v>94992</v>
      </c>
      <c r="L19" s="815"/>
      <c r="M19" s="780">
        <f t="shared" si="0"/>
        <v>94992</v>
      </c>
      <c r="N19" s="816">
        <f t="shared" ref="N19:N20" si="11">SUM(J19:L19)/G19</f>
        <v>1</v>
      </c>
      <c r="O19" s="782">
        <f t="shared" ref="O19:O22" si="12">G19-SUM(J19:L19)</f>
        <v>0</v>
      </c>
      <c r="Q19" s="567">
        <f t="shared" si="5"/>
        <v>9849.2340248903929</v>
      </c>
    </row>
    <row r="20" spans="2:19" x14ac:dyDescent="0.35">
      <c r="B20" s="976"/>
      <c r="C20" s="1019" t="s">
        <v>697</v>
      </c>
      <c r="D20" s="596" t="s">
        <v>789</v>
      </c>
      <c r="E20" s="597">
        <f>'[7]Suivi des réalisations'!S74</f>
        <v>100000</v>
      </c>
      <c r="F20" s="787"/>
      <c r="G20" s="786">
        <f>E20</f>
        <v>100000</v>
      </c>
      <c r="H20" s="597"/>
      <c r="I20" s="817"/>
      <c r="J20" s="818"/>
      <c r="K20" s="819">
        <v>96800</v>
      </c>
      <c r="L20" s="820"/>
      <c r="M20" s="780">
        <f t="shared" si="0"/>
        <v>100000</v>
      </c>
      <c r="N20" s="816">
        <f t="shared" si="11"/>
        <v>0.96799999999999997</v>
      </c>
      <c r="O20" s="782">
        <f t="shared" si="12"/>
        <v>3200</v>
      </c>
      <c r="Q20" s="561">
        <f t="shared" si="5"/>
        <v>10368.48789886558</v>
      </c>
      <c r="R20" s="398"/>
      <c r="S20" s="398"/>
    </row>
    <row r="21" spans="2:19" x14ac:dyDescent="0.35">
      <c r="B21" s="976"/>
      <c r="C21" s="1019"/>
      <c r="D21" s="821" t="s">
        <v>1246</v>
      </c>
      <c r="E21" s="822">
        <f>'[7]Suivi des réalisations'!S75</f>
        <v>100000</v>
      </c>
      <c r="F21" s="787" t="s">
        <v>707</v>
      </c>
      <c r="G21" s="823"/>
      <c r="H21" s="597"/>
      <c r="I21" s="784"/>
      <c r="J21" s="818"/>
      <c r="K21" s="819"/>
      <c r="L21" s="820"/>
      <c r="M21" s="780">
        <f t="shared" si="0"/>
        <v>0</v>
      </c>
      <c r="N21" s="816"/>
      <c r="O21" s="782">
        <f t="shared" si="12"/>
        <v>0</v>
      </c>
      <c r="Q21" s="838">
        <f t="shared" si="5"/>
        <v>0</v>
      </c>
      <c r="S21" s="271"/>
    </row>
    <row r="22" spans="2:19" ht="15" thickBot="1" x14ac:dyDescent="0.4">
      <c r="B22" s="977"/>
      <c r="C22" s="1020"/>
      <c r="D22" s="607" t="s">
        <v>794</v>
      </c>
      <c r="E22" s="608"/>
      <c r="F22" s="794"/>
      <c r="G22" s="598"/>
      <c r="H22" s="598"/>
      <c r="I22" s="824"/>
      <c r="J22" s="825"/>
      <c r="K22" s="826"/>
      <c r="L22" s="827"/>
      <c r="M22" s="828">
        <f t="shared" si="0"/>
        <v>0</v>
      </c>
      <c r="N22" s="829"/>
      <c r="O22" s="800">
        <f t="shared" si="12"/>
        <v>0</v>
      </c>
      <c r="Q22" s="561">
        <f t="shared" si="5"/>
        <v>0</v>
      </c>
    </row>
    <row r="23" spans="2:19" ht="15" thickBot="1" x14ac:dyDescent="0.4">
      <c r="E23" s="249"/>
      <c r="F23" s="830"/>
      <c r="G23" s="249"/>
      <c r="H23" s="249"/>
      <c r="I23" s="249"/>
      <c r="J23" s="249"/>
      <c r="L23" s="249"/>
      <c r="M23" s="249"/>
      <c r="N23" s="249"/>
      <c r="O23" s="249"/>
      <c r="Q23" s="561">
        <f t="shared" si="5"/>
        <v>0</v>
      </c>
    </row>
    <row r="24" spans="2:19" ht="15" thickBot="1" x14ac:dyDescent="0.4">
      <c r="B24" s="1012" t="s">
        <v>319</v>
      </c>
      <c r="C24" s="1013"/>
      <c r="D24" s="1013"/>
      <c r="E24" s="831">
        <f>SUM(E4:E23)</f>
        <v>16080053</v>
      </c>
      <c r="F24" s="832" t="s">
        <v>702</v>
      </c>
      <c r="G24" s="831">
        <f>SUM(G4:G23)</f>
        <v>16124242</v>
      </c>
      <c r="H24" s="831">
        <f t="shared" ref="H24" si="13">SUM(H4:H23)</f>
        <v>34369.919999999998</v>
      </c>
      <c r="I24" s="833">
        <f>SUM(I4:I23)</f>
        <v>-178558.91999999995</v>
      </c>
      <c r="J24" s="834">
        <f>SUM(J4:J23)</f>
        <v>0</v>
      </c>
      <c r="K24" s="835">
        <f t="shared" ref="K24:M24" si="14">SUM(K4:K23)</f>
        <v>13118762</v>
      </c>
      <c r="L24" s="836"/>
      <c r="M24" s="837">
        <f t="shared" si="14"/>
        <v>16124242</v>
      </c>
      <c r="N24" s="609">
        <f>SUM(J24:K24)/G24</f>
        <v>0.81360488139535492</v>
      </c>
      <c r="O24" s="835">
        <f>G24-J24</f>
        <v>16124242</v>
      </c>
      <c r="Q24" s="561">
        <f t="shared" si="5"/>
        <v>1671840.0805538015</v>
      </c>
      <c r="R24" s="271">
        <v>0</v>
      </c>
    </row>
    <row r="25" spans="2:19" ht="4.5" customHeight="1" x14ac:dyDescent="0.35">
      <c r="B25" s="504"/>
      <c r="C25" s="504"/>
      <c r="D25" s="504"/>
      <c r="E25" s="603"/>
      <c r="F25" s="604"/>
      <c r="G25" s="603"/>
      <c r="H25" s="603"/>
      <c r="I25" s="603">
        <f t="shared" ref="I25" si="15">E25-(G25+H25)</f>
        <v>0</v>
      </c>
      <c r="J25" s="504"/>
      <c r="K25" s="605"/>
      <c r="L25" s="605"/>
      <c r="M25" s="605"/>
      <c r="N25" s="605"/>
      <c r="O25" s="605"/>
      <c r="Q25" s="561">
        <f t="shared" si="5"/>
        <v>0</v>
      </c>
    </row>
    <row r="26" spans="2:19" ht="3.75" customHeight="1" x14ac:dyDescent="0.35"/>
    <row r="27" spans="2:19" x14ac:dyDescent="0.35">
      <c r="E27" s="298"/>
      <c r="G27" s="307"/>
      <c r="H27" s="307"/>
      <c r="M27" s="308"/>
      <c r="N27" s="308"/>
      <c r="O27" s="308"/>
    </row>
    <row r="28" spans="2:19" x14ac:dyDescent="0.35">
      <c r="G28" s="438"/>
      <c r="H28" s="308"/>
      <c r="J28" s="438"/>
    </row>
    <row r="29" spans="2:19" x14ac:dyDescent="0.35">
      <c r="E29" s="308"/>
      <c r="M29" s="308"/>
      <c r="N29" s="308"/>
      <c r="O29" s="308"/>
    </row>
    <row r="31" spans="2:19" x14ac:dyDescent="0.35">
      <c r="E31" s="308"/>
    </row>
  </sheetData>
  <mergeCells count="39">
    <mergeCell ref="J18:J19"/>
    <mergeCell ref="B24:D24"/>
    <mergeCell ref="B18:B22"/>
    <mergeCell ref="C18:C19"/>
    <mergeCell ref="D18:D19"/>
    <mergeCell ref="E18:E19"/>
    <mergeCell ref="I18:I19"/>
    <mergeCell ref="C20:C22"/>
    <mergeCell ref="C13:C14"/>
    <mergeCell ref="D13:D14"/>
    <mergeCell ref="E13:E14"/>
    <mergeCell ref="I13:I14"/>
    <mergeCell ref="B16:D16"/>
    <mergeCell ref="N2:N3"/>
    <mergeCell ref="O2:O3"/>
    <mergeCell ref="B4:B14"/>
    <mergeCell ref="E4:E5"/>
    <mergeCell ref="I4:I5"/>
    <mergeCell ref="C10:C12"/>
    <mergeCell ref="F10:F12"/>
    <mergeCell ref="G10:G12"/>
    <mergeCell ref="H10:H12"/>
    <mergeCell ref="I10:I12"/>
    <mergeCell ref="J10:J12"/>
    <mergeCell ref="K10:K12"/>
    <mergeCell ref="L10:L12"/>
    <mergeCell ref="M10:M12"/>
    <mergeCell ref="N10:N12"/>
    <mergeCell ref="O10:O12"/>
    <mergeCell ref="J2:J3"/>
    <mergeCell ref="K2:K3"/>
    <mergeCell ref="L2:L3"/>
    <mergeCell ref="M2:M3"/>
    <mergeCell ref="B2:C3"/>
    <mergeCell ref="D2:D3"/>
    <mergeCell ref="E2:E3"/>
    <mergeCell ref="F2:F3"/>
    <mergeCell ref="G2:H2"/>
    <mergeCell ref="I2:I3"/>
  </mergeCells>
  <pageMargins left="0.47244094488188981" right="0.70866141732283472" top="0.27559055118110237" bottom="0.25" header="0.19685039370078741" footer="0.15748031496062992"/>
  <pageSetup paperSize="9" scale="93" orientation="landscape" r:id="rId1"/>
  <rowBreaks count="1" manualBreakCount="1">
    <brk id="26"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H119"/>
  <sheetViews>
    <sheetView view="pageBreakPreview" topLeftCell="D1" zoomScale="70" zoomScaleSheetLayoutView="70" workbookViewId="0">
      <pane xSplit="5" ySplit="3" topLeftCell="I84" activePane="bottomRight" state="frozen"/>
      <selection activeCell="D1" sqref="D1"/>
      <selection pane="topRight" activeCell="G1" sqref="G1"/>
      <selection pane="bottomLeft" activeCell="D4" sqref="D4"/>
      <selection pane="bottomRight" activeCell="H46" sqref="H46"/>
    </sheetView>
  </sheetViews>
  <sheetFormatPr defaultColWidth="11.54296875" defaultRowHeight="14.5" x14ac:dyDescent="0.35"/>
  <cols>
    <col min="1" max="1" width="12.453125" customWidth="1"/>
    <col min="2" max="2" width="4.1796875" customWidth="1"/>
    <col min="5" max="5" width="14.1796875" customWidth="1"/>
    <col min="6" max="6" width="19.54296875" style="249" customWidth="1"/>
    <col min="7" max="7" width="19.54296875" style="249" hidden="1" customWidth="1"/>
    <col min="8" max="8" width="45.54296875" customWidth="1"/>
    <col min="9" max="9" width="13.81640625" bestFit="1" customWidth="1"/>
    <col min="10" max="10" width="12.54296875" bestFit="1" customWidth="1"/>
    <col min="11" max="11" width="10" style="369" bestFit="1" customWidth="1"/>
    <col min="12" max="12" width="12.453125" bestFit="1" customWidth="1"/>
    <col min="13" max="13" width="11.453125" bestFit="1" customWidth="1"/>
    <col min="14" max="14" width="7" style="369" customWidth="1"/>
    <col min="15" max="15" width="13.81640625" bestFit="1" customWidth="1"/>
    <col min="16" max="16" width="11.453125" bestFit="1" customWidth="1"/>
    <col min="17" max="17" width="7.81640625" customWidth="1"/>
    <col min="18" max="18" width="12.453125" bestFit="1" customWidth="1"/>
    <col min="19" max="19" width="11.453125" style="312" bestFit="1" customWidth="1"/>
    <col min="20" max="20" width="8.453125" style="369" customWidth="1"/>
    <col min="21" max="26" width="12.453125" customWidth="1"/>
    <col min="27" max="27" width="6.54296875" customWidth="1"/>
    <col min="28" max="28" width="11" style="369" customWidth="1"/>
    <col min="29" max="29" width="6.54296875" customWidth="1"/>
    <col min="30" max="35" width="12.453125" customWidth="1"/>
    <col min="36" max="37" width="6.54296875" customWidth="1"/>
    <col min="38" max="41" width="14.453125" hidden="1" customWidth="1"/>
    <col min="42" max="42" width="13.81640625" style="558" customWidth="1"/>
    <col min="43" max="43" width="13.81640625" bestFit="1" customWidth="1"/>
    <col min="44" max="44" width="13.453125" bestFit="1" customWidth="1"/>
    <col min="45" max="45" width="5.453125" hidden="1" customWidth="1"/>
    <col min="46" max="46" width="12.54296875" style="371" bestFit="1" customWidth="1"/>
    <col min="47" max="48" width="14" style="371" customWidth="1"/>
    <col min="49" max="49" width="12.54296875" bestFit="1" customWidth="1"/>
    <col min="54" max="54" width="13.1796875" customWidth="1"/>
    <col min="55" max="55" width="17.54296875" customWidth="1"/>
    <col min="56" max="56" width="13.81640625" bestFit="1" customWidth="1"/>
  </cols>
  <sheetData>
    <row r="1" spans="1:48" ht="15" thickBot="1" x14ac:dyDescent="0.4">
      <c r="A1">
        <v>9.6446078710224494</v>
      </c>
      <c r="F1" s="249">
        <f>A1</f>
        <v>9.6446078710224494</v>
      </c>
      <c r="H1" s="308">
        <f>+BD70+BD71-600000</f>
        <v>16270000</v>
      </c>
      <c r="I1" s="308"/>
      <c r="J1" s="308"/>
      <c r="K1" s="727"/>
      <c r="L1" s="298"/>
      <c r="M1" s="298"/>
      <c r="O1" s="298"/>
      <c r="P1" s="298"/>
      <c r="Q1" s="298"/>
      <c r="R1" s="298"/>
      <c r="S1" s="298"/>
      <c r="U1" s="298"/>
      <c r="V1" s="298"/>
      <c r="W1" s="298"/>
      <c r="X1" s="298"/>
      <c r="Y1" s="298"/>
      <c r="Z1" s="298"/>
      <c r="AA1" s="298"/>
      <c r="AC1" s="298"/>
      <c r="AD1" s="298"/>
      <c r="AE1" s="298"/>
      <c r="AF1" s="298"/>
      <c r="AG1" s="298"/>
      <c r="AH1" s="298"/>
      <c r="AI1" s="298"/>
      <c r="AJ1" s="298"/>
      <c r="AK1" s="298"/>
      <c r="AL1" s="298"/>
      <c r="AM1" s="298"/>
      <c r="AN1" s="298"/>
      <c r="AO1" s="298"/>
      <c r="AP1" s="370"/>
    </row>
    <row r="2" spans="1:48" ht="15.75" customHeight="1" thickBot="1" x14ac:dyDescent="0.4">
      <c r="H2" s="259">
        <f>R9+R10+R15+R17+R21+R30</f>
        <v>16270000</v>
      </c>
      <c r="I2" s="1105" t="s">
        <v>1249</v>
      </c>
      <c r="J2" s="1106"/>
      <c r="K2" s="1107"/>
      <c r="L2" s="1107"/>
      <c r="M2" s="1107"/>
      <c r="N2" s="1108"/>
      <c r="O2" s="1109" t="s">
        <v>1250</v>
      </c>
      <c r="P2" s="1110"/>
      <c r="Q2" s="1110"/>
      <c r="R2" s="1110"/>
      <c r="S2" s="1110"/>
      <c r="T2" s="1111"/>
      <c r="U2" s="1112" t="s">
        <v>1251</v>
      </c>
      <c r="V2" s="1113"/>
      <c r="W2" s="1114"/>
      <c r="X2" s="1114"/>
      <c r="Y2" s="1114"/>
      <c r="Z2" s="1115"/>
      <c r="AA2" s="298"/>
      <c r="AB2" s="1116" t="s">
        <v>1043</v>
      </c>
      <c r="AC2" s="298"/>
      <c r="AD2" s="1112" t="s">
        <v>1280</v>
      </c>
      <c r="AE2" s="1113"/>
      <c r="AF2" s="1114"/>
      <c r="AG2" s="1114"/>
      <c r="AH2" s="1114"/>
      <c r="AI2" s="1115"/>
      <c r="AJ2" s="298"/>
      <c r="AK2" s="298"/>
      <c r="AL2" s="298"/>
      <c r="AM2" s="298"/>
      <c r="AN2" s="298"/>
      <c r="AO2" s="298"/>
      <c r="AP2" s="1098" t="s">
        <v>1044</v>
      </c>
      <c r="AQ2" s="1099" t="s">
        <v>1045</v>
      </c>
    </row>
    <row r="3" spans="1:48" ht="38.25" customHeight="1" x14ac:dyDescent="0.35">
      <c r="C3" s="372" t="s">
        <v>660</v>
      </c>
      <c r="D3" s="373" t="s">
        <v>859</v>
      </c>
      <c r="E3" s="373" t="s">
        <v>1252</v>
      </c>
      <c r="F3" s="373" t="s">
        <v>1046</v>
      </c>
      <c r="G3" s="374" t="s">
        <v>859</v>
      </c>
      <c r="H3" s="375" t="s">
        <v>1047</v>
      </c>
      <c r="I3" s="378" t="s">
        <v>1170</v>
      </c>
      <c r="J3" s="378" t="s">
        <v>1169</v>
      </c>
      <c r="K3" s="377" t="s">
        <v>1048</v>
      </c>
      <c r="L3" s="378" t="s">
        <v>1171</v>
      </c>
      <c r="M3" s="378" t="s">
        <v>1049</v>
      </c>
      <c r="N3" s="379" t="s">
        <v>1050</v>
      </c>
      <c r="O3" s="376" t="s">
        <v>1173</v>
      </c>
      <c r="P3" s="378" t="s">
        <v>1168</v>
      </c>
      <c r="Q3" s="377" t="s">
        <v>1051</v>
      </c>
      <c r="R3" s="378" t="s">
        <v>1174</v>
      </c>
      <c r="S3" s="704" t="s">
        <v>1175</v>
      </c>
      <c r="T3" s="379" t="s">
        <v>1052</v>
      </c>
      <c r="U3" s="380" t="s">
        <v>1053</v>
      </c>
      <c r="V3" s="378" t="s">
        <v>1176</v>
      </c>
      <c r="W3" s="381" t="s">
        <v>1054</v>
      </c>
      <c r="X3" s="382" t="s">
        <v>1055</v>
      </c>
      <c r="Y3" s="748" t="s">
        <v>1056</v>
      </c>
      <c r="Z3" s="383" t="s">
        <v>1057</v>
      </c>
      <c r="AA3" s="298"/>
      <c r="AB3" s="1116"/>
      <c r="AC3" s="298"/>
      <c r="AD3" s="380" t="s">
        <v>1053</v>
      </c>
      <c r="AE3" s="378" t="s">
        <v>1176</v>
      </c>
      <c r="AF3" s="741" t="s">
        <v>1054</v>
      </c>
      <c r="AG3" s="740" t="s">
        <v>1055</v>
      </c>
      <c r="AH3" s="748" t="s">
        <v>1056</v>
      </c>
      <c r="AI3" s="383" t="s">
        <v>1057</v>
      </c>
      <c r="AJ3" s="298"/>
      <c r="AK3" s="298"/>
      <c r="AL3" s="298"/>
      <c r="AM3" s="298" t="s">
        <v>1058</v>
      </c>
      <c r="AN3" s="298"/>
      <c r="AO3" s="298"/>
      <c r="AP3" s="1098"/>
      <c r="AQ3" s="1099"/>
      <c r="AT3" s="384" t="s">
        <v>1059</v>
      </c>
      <c r="AU3" s="385"/>
      <c r="AV3" s="385"/>
    </row>
    <row r="4" spans="1:48" ht="37.5" customHeight="1" x14ac:dyDescent="0.35">
      <c r="C4" s="1100" t="s">
        <v>1060</v>
      </c>
      <c r="D4" s="1101" t="s">
        <v>860</v>
      </c>
      <c r="E4" s="1121" t="s">
        <v>1254</v>
      </c>
      <c r="F4" s="1104" t="s">
        <v>1061</v>
      </c>
      <c r="G4" s="1104" t="s">
        <v>1062</v>
      </c>
      <c r="H4" s="386" t="s">
        <v>1063</v>
      </c>
      <c r="I4" s="387">
        <v>1000000</v>
      </c>
      <c r="J4" s="389">
        <f>I4/$A$1</f>
        <v>103684.87898865581</v>
      </c>
      <c r="K4" s="388">
        <f>I4/$AQ4</f>
        <v>1.0368487898865582</v>
      </c>
      <c r="L4" s="389">
        <v>1000000</v>
      </c>
      <c r="M4" s="389">
        <f>L4/$A$1</f>
        <v>103684.87898865581</v>
      </c>
      <c r="N4" s="390">
        <f>L4/$I4</f>
        <v>1</v>
      </c>
      <c r="O4" s="387"/>
      <c r="P4" s="389">
        <f>O4/$A$1</f>
        <v>0</v>
      </c>
      <c r="Q4" s="391"/>
      <c r="R4" s="389"/>
      <c r="S4" s="705"/>
      <c r="T4" s="392">
        <v>0</v>
      </c>
      <c r="U4" s="393">
        <f>'[7]PTBA 16-17-18'!X4</f>
        <v>0</v>
      </c>
      <c r="V4" s="389">
        <f t="shared" ref="V4" si="0">U4/$A$1</f>
        <v>0</v>
      </c>
      <c r="W4" s="391"/>
      <c r="X4" s="394">
        <f>'[7]PTBA 16-17-18'!Z4</f>
        <v>0</v>
      </c>
      <c r="Y4" s="749">
        <f>'[7]PTBA 16-17-18'!AA4</f>
        <v>0</v>
      </c>
      <c r="Z4" s="395"/>
      <c r="AA4" s="298"/>
      <c r="AB4" s="391">
        <f>(I4+O4+U4)/AQ4</f>
        <v>1.0368487898865582</v>
      </c>
      <c r="AC4" s="298"/>
      <c r="AD4" s="393"/>
      <c r="AE4" s="389"/>
      <c r="AF4" s="744"/>
      <c r="AG4" s="394"/>
      <c r="AH4" s="749"/>
      <c r="AI4" s="395"/>
      <c r="AJ4" s="298"/>
      <c r="AK4" s="298"/>
      <c r="AL4" s="396">
        <f>M4+S4</f>
        <v>103684.87898865581</v>
      </c>
      <c r="AM4" s="396"/>
      <c r="AN4" s="396"/>
      <c r="AO4" s="396"/>
      <c r="AP4" s="389">
        <f t="shared" ref="AP4:AP17" si="1">AT4</f>
        <v>100000</v>
      </c>
      <c r="AQ4" s="397">
        <f>$A$1*AT4</f>
        <v>964460.78710224491</v>
      </c>
      <c r="AS4" s="398"/>
      <c r="AT4" s="399">
        <v>100000</v>
      </c>
      <c r="AU4" s="400"/>
      <c r="AV4" s="400"/>
    </row>
    <row r="5" spans="1:48" ht="27.75" customHeight="1" x14ac:dyDescent="0.35">
      <c r="C5" s="1100"/>
      <c r="D5" s="1102"/>
      <c r="E5" s="1122"/>
      <c r="F5" s="1104"/>
      <c r="G5" s="1104"/>
      <c r="H5" s="386" t="s">
        <v>1064</v>
      </c>
      <c r="I5" s="387">
        <v>4470000</v>
      </c>
      <c r="J5" s="389">
        <f t="shared" ref="J5:J61" si="2">I5/$A$1</f>
        <v>463471.40907929145</v>
      </c>
      <c r="K5" s="388">
        <f>I5/$AQ5</f>
        <v>0.46347140907929146</v>
      </c>
      <c r="L5" s="389">
        <v>4470000</v>
      </c>
      <c r="M5" s="389">
        <f t="shared" ref="M5:M72" si="3">L5/$A$1</f>
        <v>463471.40907929145</v>
      </c>
      <c r="N5" s="390">
        <f>L5/$I5</f>
        <v>1</v>
      </c>
      <c r="O5" s="387">
        <v>5100000</v>
      </c>
      <c r="P5" s="389">
        <f t="shared" ref="P5:P61" si="4">O5/$A$1</f>
        <v>528792.88284214458</v>
      </c>
      <c r="Q5" s="401">
        <f>O5/$AQ5</f>
        <v>0.52879288284214465</v>
      </c>
      <c r="R5" s="724">
        <f>O5</f>
        <v>5100000</v>
      </c>
      <c r="S5" s="724">
        <f>R5/$A$1</f>
        <v>528792.88284214458</v>
      </c>
      <c r="T5" s="390">
        <f>R5/O5</f>
        <v>1</v>
      </c>
      <c r="U5" s="393">
        <f>'[7]PTBA 16-17-18'!X5</f>
        <v>0</v>
      </c>
      <c r="V5" s="389">
        <f t="shared" ref="V5:V17" si="5">U5/$A$1</f>
        <v>0</v>
      </c>
      <c r="W5" s="401">
        <f>U5/$AQ5</f>
        <v>0</v>
      </c>
      <c r="X5" s="394">
        <f>'[7]PTBA 16-17-18'!Z5</f>
        <v>0</v>
      </c>
      <c r="Y5" s="749">
        <f>'[7]PTBA 16-17-18'!AA5</f>
        <v>0</v>
      </c>
      <c r="Z5" s="395"/>
      <c r="AA5" s="298"/>
      <c r="AB5" s="744">
        <f>(I5+O5+U5)/AQ5</f>
        <v>0.99226429192143606</v>
      </c>
      <c r="AC5" s="298"/>
      <c r="AD5" s="393"/>
      <c r="AE5" s="389"/>
      <c r="AF5" s="401"/>
      <c r="AG5" s="394"/>
      <c r="AH5" s="749"/>
      <c r="AI5" s="395"/>
      <c r="AJ5" s="298"/>
      <c r="AK5" s="298"/>
      <c r="AL5" s="396">
        <f t="shared" ref="AL5:AL17" si="6">M5+S5</f>
        <v>992264.29192143609</v>
      </c>
      <c r="AM5" s="396">
        <f>2201000/A1</f>
        <v>228210.41865403144</v>
      </c>
      <c r="AN5" s="396"/>
      <c r="AO5" s="396"/>
      <c r="AP5" s="389">
        <f t="shared" si="1"/>
        <v>1000000</v>
      </c>
      <c r="AQ5" s="397">
        <f>$A$1*AT5</f>
        <v>9644607.8710224498</v>
      </c>
      <c r="AR5">
        <f>$A$1</f>
        <v>9.6446078710224494</v>
      </c>
      <c r="AS5" s="398"/>
      <c r="AT5" s="399">
        <v>1000000</v>
      </c>
      <c r="AU5" s="400"/>
      <c r="AV5" s="400"/>
    </row>
    <row r="6" spans="1:48" ht="28.5" customHeight="1" x14ac:dyDescent="0.35">
      <c r="C6" s="1100"/>
      <c r="D6" s="1102"/>
      <c r="E6" s="1122"/>
      <c r="F6" s="1104"/>
      <c r="G6" s="1104"/>
      <c r="H6" s="386" t="s">
        <v>1065</v>
      </c>
      <c r="I6" s="387">
        <v>400000</v>
      </c>
      <c r="J6" s="389">
        <f t="shared" si="2"/>
        <v>41473.95159546232</v>
      </c>
      <c r="K6" s="388">
        <f>I6/$AQ6</f>
        <v>0.82947903190924654</v>
      </c>
      <c r="L6" s="389">
        <v>400000</v>
      </c>
      <c r="M6" s="389">
        <f t="shared" si="3"/>
        <v>41473.95159546232</v>
      </c>
      <c r="N6" s="390">
        <f>L6/$I6</f>
        <v>1</v>
      </c>
      <c r="O6" s="387">
        <v>76000</v>
      </c>
      <c r="P6" s="389">
        <f t="shared" si="4"/>
        <v>7880.0508031378413</v>
      </c>
      <c r="Q6" s="401">
        <f>O6/$AQ6</f>
        <v>0.15760101606275684</v>
      </c>
      <c r="R6" s="724">
        <f>O6</f>
        <v>76000</v>
      </c>
      <c r="S6" s="724">
        <f>R6/$A$1</f>
        <v>7880.0508031378413</v>
      </c>
      <c r="T6" s="390">
        <f t="shared" ref="T6:T28" si="7">R6/O6</f>
        <v>1</v>
      </c>
      <c r="U6" s="393">
        <f>'[7]PTBA 16-17-18'!X6</f>
        <v>0</v>
      </c>
      <c r="V6" s="389">
        <f t="shared" si="5"/>
        <v>0</v>
      </c>
      <c r="W6" s="401">
        <f>U6/$AQ6</f>
        <v>0</v>
      </c>
      <c r="X6" s="394">
        <f>'[7]PTBA 16-17-18'!Z6</f>
        <v>0</v>
      </c>
      <c r="Y6" s="749">
        <f>'[7]PTBA 16-17-18'!AA6</f>
        <v>0</v>
      </c>
      <c r="Z6" s="395"/>
      <c r="AA6" s="298"/>
      <c r="AB6" s="744">
        <f>(I6+O6+U6)/AQ6</f>
        <v>0.98708004797200333</v>
      </c>
      <c r="AC6" s="298"/>
      <c r="AD6" s="393"/>
      <c r="AE6" s="389"/>
      <c r="AF6" s="401"/>
      <c r="AG6" s="394"/>
      <c r="AH6" s="749"/>
      <c r="AI6" s="395"/>
      <c r="AJ6" s="298"/>
      <c r="AK6" s="298"/>
      <c r="AL6" s="396">
        <f t="shared" si="6"/>
        <v>49354.002398600162</v>
      </c>
      <c r="AM6" s="396">
        <f>400000/A1+300000/A1</f>
        <v>72579.415292059071</v>
      </c>
      <c r="AN6" s="396"/>
      <c r="AO6" s="396"/>
      <c r="AP6" s="389">
        <f t="shared" si="1"/>
        <v>50000</v>
      </c>
      <c r="AQ6" s="397">
        <f>$A$1*AT6</f>
        <v>482230.39355112246</v>
      </c>
      <c r="AS6" s="398"/>
      <c r="AT6" s="399">
        <v>50000</v>
      </c>
      <c r="AU6" s="400"/>
      <c r="AV6" s="400"/>
    </row>
    <row r="7" spans="1:48" ht="19.5" customHeight="1" x14ac:dyDescent="0.35">
      <c r="C7" s="1100"/>
      <c r="D7" s="1102"/>
      <c r="E7" s="1122"/>
      <c r="F7" s="1104"/>
      <c r="G7" s="1104"/>
      <c r="H7" s="386" t="s">
        <v>1066</v>
      </c>
      <c r="I7" s="402" t="s">
        <v>702</v>
      </c>
      <c r="J7" s="404" t="s">
        <v>702</v>
      </c>
      <c r="K7" s="403" t="s">
        <v>702</v>
      </c>
      <c r="L7" s="404" t="s">
        <v>702</v>
      </c>
      <c r="M7" s="404" t="s">
        <v>702</v>
      </c>
      <c r="N7" s="392" t="s">
        <v>702</v>
      </c>
      <c r="O7" s="402"/>
      <c r="P7" s="389">
        <f t="shared" si="4"/>
        <v>0</v>
      </c>
      <c r="Q7" s="405" t="s">
        <v>702</v>
      </c>
      <c r="R7" s="404" t="s">
        <v>702</v>
      </c>
      <c r="S7" s="706" t="s">
        <v>702</v>
      </c>
      <c r="T7" s="407" t="s">
        <v>702</v>
      </c>
      <c r="U7" s="393">
        <f>'[7]PTBA 16-17-18'!X7</f>
        <v>0</v>
      </c>
      <c r="V7" s="389">
        <f t="shared" si="5"/>
        <v>0</v>
      </c>
      <c r="W7" s="405" t="s">
        <v>702</v>
      </c>
      <c r="X7" s="394">
        <f>'[7]PTBA 16-17-18'!Z7</f>
        <v>0</v>
      </c>
      <c r="Y7" s="749">
        <f>'[7]PTBA 16-17-18'!AA7</f>
        <v>0</v>
      </c>
      <c r="Z7" s="408"/>
      <c r="AA7" s="298"/>
      <c r="AB7" s="401" t="s">
        <v>702</v>
      </c>
      <c r="AC7" s="298"/>
      <c r="AD7" s="393"/>
      <c r="AE7" s="389"/>
      <c r="AF7" s="405"/>
      <c r="AG7" s="394"/>
      <c r="AH7" s="749"/>
      <c r="AI7" s="408"/>
      <c r="AJ7" s="298"/>
      <c r="AK7" s="298"/>
      <c r="AL7" s="396"/>
      <c r="AM7" s="396"/>
      <c r="AN7" s="396"/>
      <c r="AO7" s="396"/>
      <c r="AP7" s="404" t="str">
        <f t="shared" si="1"/>
        <v>pm</v>
      </c>
      <c r="AQ7" s="406" t="s">
        <v>702</v>
      </c>
      <c r="AT7" s="399" t="s">
        <v>1067</v>
      </c>
      <c r="AU7" s="400"/>
      <c r="AV7" s="400"/>
    </row>
    <row r="8" spans="1:48" ht="26.25" customHeight="1" x14ac:dyDescent="0.35">
      <c r="C8" s="1100"/>
      <c r="D8" s="1102"/>
      <c r="E8" s="1122"/>
      <c r="F8" s="1104"/>
      <c r="G8" s="1104"/>
      <c r="H8" s="386" t="s">
        <v>1068</v>
      </c>
      <c r="I8" s="402" t="s">
        <v>702</v>
      </c>
      <c r="J8" s="404" t="s">
        <v>702</v>
      </c>
      <c r="K8" s="403" t="s">
        <v>702</v>
      </c>
      <c r="L8" s="404" t="s">
        <v>702</v>
      </c>
      <c r="M8" s="404" t="s">
        <v>702</v>
      </c>
      <c r="N8" s="392" t="s">
        <v>702</v>
      </c>
      <c r="O8" s="402"/>
      <c r="P8" s="389">
        <f t="shared" si="4"/>
        <v>0</v>
      </c>
      <c r="Q8" s="405" t="s">
        <v>702</v>
      </c>
      <c r="R8" s="404" t="s">
        <v>702</v>
      </c>
      <c r="S8" s="706" t="s">
        <v>702</v>
      </c>
      <c r="T8" s="407" t="s">
        <v>702</v>
      </c>
      <c r="U8" s="393">
        <f>'[7]PTBA 16-17-18'!X8</f>
        <v>0</v>
      </c>
      <c r="V8" s="389">
        <f t="shared" si="5"/>
        <v>0</v>
      </c>
      <c r="W8" s="405" t="s">
        <v>702</v>
      </c>
      <c r="X8" s="394">
        <f>'[7]PTBA 16-17-18'!Z8</f>
        <v>0</v>
      </c>
      <c r="Y8" s="749">
        <f>'[7]PTBA 16-17-18'!AA8</f>
        <v>0</v>
      </c>
      <c r="Z8" s="408"/>
      <c r="AA8" s="298"/>
      <c r="AB8" s="401" t="s">
        <v>702</v>
      </c>
      <c r="AC8" s="298"/>
      <c r="AD8" s="393"/>
      <c r="AE8" s="389"/>
      <c r="AF8" s="405"/>
      <c r="AG8" s="394"/>
      <c r="AH8" s="749"/>
      <c r="AI8" s="408"/>
      <c r="AJ8" s="298"/>
      <c r="AK8" s="298"/>
      <c r="AL8" s="396"/>
      <c r="AM8" s="396"/>
      <c r="AN8" s="396"/>
      <c r="AO8" s="396"/>
      <c r="AP8" s="404" t="str">
        <f t="shared" si="1"/>
        <v>pm</v>
      </c>
      <c r="AQ8" s="406" t="s">
        <v>702</v>
      </c>
      <c r="AT8" s="399" t="s">
        <v>1067</v>
      </c>
      <c r="AU8" s="400"/>
      <c r="AV8" s="400"/>
    </row>
    <row r="9" spans="1:48" ht="38.25" customHeight="1" x14ac:dyDescent="0.35">
      <c r="C9" s="1100"/>
      <c r="D9" s="1102"/>
      <c r="E9" s="1122"/>
      <c r="F9" s="1104" t="s">
        <v>1069</v>
      </c>
      <c r="G9" s="1104" t="s">
        <v>1070</v>
      </c>
      <c r="H9" s="386" t="s">
        <v>1071</v>
      </c>
      <c r="I9" s="387">
        <v>300000</v>
      </c>
      <c r="J9" s="389">
        <f t="shared" si="2"/>
        <v>31105.463696596744</v>
      </c>
      <c r="K9" s="388">
        <f>I9/$AQ9</f>
        <v>0.31105463696596741</v>
      </c>
      <c r="L9" s="389">
        <v>300000</v>
      </c>
      <c r="M9" s="389">
        <f t="shared" si="3"/>
        <v>31105.463696596744</v>
      </c>
      <c r="N9" s="390">
        <f>L9/$I9</f>
        <v>1</v>
      </c>
      <c r="O9" s="387">
        <v>650000</v>
      </c>
      <c r="P9" s="389">
        <f t="shared" si="4"/>
        <v>67395.171342626272</v>
      </c>
      <c r="Q9" s="401">
        <f>O9/$AQ9</f>
        <v>0.67395171342626281</v>
      </c>
      <c r="R9" s="725">
        <f>O9</f>
        <v>650000</v>
      </c>
      <c r="S9" s="725">
        <f>R9/$A$1</f>
        <v>67395.171342626272</v>
      </c>
      <c r="T9" s="390">
        <f t="shared" si="7"/>
        <v>1</v>
      </c>
      <c r="U9" s="393">
        <f>'[7]PTBA 16-17-18'!X9</f>
        <v>0</v>
      </c>
      <c r="V9" s="389">
        <f t="shared" si="5"/>
        <v>0</v>
      </c>
      <c r="W9" s="401">
        <f>U9/$AQ9</f>
        <v>0</v>
      </c>
      <c r="X9" s="394">
        <f>'[7]PTBA 16-17-18'!Z9</f>
        <v>0</v>
      </c>
      <c r="Y9" s="749">
        <f>'[7]PTBA 16-17-18'!AA9</f>
        <v>0</v>
      </c>
      <c r="Z9" s="409"/>
      <c r="AA9" s="298"/>
      <c r="AB9" s="744">
        <f>(I9+O9+U9)/AQ9</f>
        <v>0.98500635039223017</v>
      </c>
      <c r="AC9" s="298"/>
      <c r="AD9" s="393"/>
      <c r="AE9" s="389"/>
      <c r="AF9" s="401"/>
      <c r="AG9" s="394"/>
      <c r="AH9" s="749"/>
      <c r="AI9" s="409"/>
      <c r="AJ9" s="298"/>
      <c r="AK9" s="298"/>
      <c r="AL9" s="410">
        <f t="shared" si="6"/>
        <v>98500.635039223009</v>
      </c>
      <c r="AM9" s="410"/>
      <c r="AN9" s="410"/>
      <c r="AO9" s="410"/>
      <c r="AP9" s="389">
        <f t="shared" si="1"/>
        <v>100000</v>
      </c>
      <c r="AQ9" s="397">
        <f>$A$1*AT9</f>
        <v>964460.78710224491</v>
      </c>
      <c r="AS9" s="398"/>
      <c r="AT9" s="399">
        <v>100000</v>
      </c>
      <c r="AU9" s="400"/>
      <c r="AV9" s="400"/>
    </row>
    <row r="10" spans="1:48" ht="28.5" customHeight="1" x14ac:dyDescent="0.35">
      <c r="C10" s="1100"/>
      <c r="D10" s="1102"/>
      <c r="E10" s="1122"/>
      <c r="F10" s="1104"/>
      <c r="G10" s="1104"/>
      <c r="H10" s="386" t="s">
        <v>1072</v>
      </c>
      <c r="I10" s="387"/>
      <c r="J10" s="389">
        <f t="shared" si="2"/>
        <v>0</v>
      </c>
      <c r="K10" s="388">
        <f>I10/$AQ10</f>
        <v>0</v>
      </c>
      <c r="L10" s="389">
        <v>210000</v>
      </c>
      <c r="M10" s="389">
        <f t="shared" si="3"/>
        <v>21773.824587617721</v>
      </c>
      <c r="N10" s="392" t="s">
        <v>702</v>
      </c>
      <c r="O10" s="387">
        <v>4760000</v>
      </c>
      <c r="P10" s="389">
        <f t="shared" si="4"/>
        <v>493540.02398600167</v>
      </c>
      <c r="Q10" s="401">
        <f>O10/$AQ10</f>
        <v>0.82256670664333609</v>
      </c>
      <c r="R10" s="725">
        <f>O10</f>
        <v>4760000</v>
      </c>
      <c r="S10" s="725">
        <f>R10/$A$1</f>
        <v>493540.02398600167</v>
      </c>
      <c r="T10" s="390">
        <f t="shared" si="7"/>
        <v>1</v>
      </c>
      <c r="U10" s="393">
        <f>'[7]PTBA 16-17-18'!X10</f>
        <v>1024000</v>
      </c>
      <c r="V10" s="389">
        <f t="shared" si="5"/>
        <v>106173.31608438355</v>
      </c>
      <c r="W10" s="401">
        <f>U10/$AQ10</f>
        <v>0.17695552680730592</v>
      </c>
      <c r="X10" s="394">
        <f>'[7]PTBA 16-17-18'!Z10</f>
        <v>1024000</v>
      </c>
      <c r="Y10" s="749">
        <f>'[7]PTBA 16-17-18'!AA10</f>
        <v>106173.31608438355</v>
      </c>
      <c r="Z10" s="411"/>
      <c r="AA10" s="298"/>
      <c r="AB10" s="744">
        <f>(I10+O10+U10)/AQ10</f>
        <v>0.99952223345064195</v>
      </c>
      <c r="AC10" s="298"/>
      <c r="AD10" s="393"/>
      <c r="AE10" s="389"/>
      <c r="AF10" s="401"/>
      <c r="AG10" s="394"/>
      <c r="AH10" s="749"/>
      <c r="AI10" s="411"/>
      <c r="AJ10" s="298"/>
      <c r="AK10" s="298"/>
      <c r="AL10" s="410">
        <f t="shared" si="6"/>
        <v>515313.84857361938</v>
      </c>
      <c r="AM10" s="410">
        <f>500000/A1</f>
        <v>51842.439494327904</v>
      </c>
      <c r="AN10" s="410">
        <f>3008000/A1+821000/A1</f>
        <v>397009.40164756309</v>
      </c>
      <c r="AO10" s="410"/>
      <c r="AP10" s="389">
        <f t="shared" si="1"/>
        <v>600000</v>
      </c>
      <c r="AQ10" s="397">
        <f>$A$1*AT10</f>
        <v>5786764.7226134697</v>
      </c>
      <c r="AS10" s="398"/>
      <c r="AT10" s="399">
        <v>600000</v>
      </c>
      <c r="AU10" s="400"/>
      <c r="AV10" s="400"/>
    </row>
    <row r="11" spans="1:48" ht="28.5" customHeight="1" x14ac:dyDescent="0.35">
      <c r="C11" s="1100"/>
      <c r="D11" s="1102"/>
      <c r="E11" s="1122"/>
      <c r="F11" s="1104"/>
      <c r="G11" s="1104"/>
      <c r="H11" s="386" t="s">
        <v>1073</v>
      </c>
      <c r="I11" s="402" t="s">
        <v>702</v>
      </c>
      <c r="J11" s="404" t="s">
        <v>702</v>
      </c>
      <c r="K11" s="403" t="s">
        <v>702</v>
      </c>
      <c r="L11" s="404" t="s">
        <v>702</v>
      </c>
      <c r="M11" s="404" t="s">
        <v>702</v>
      </c>
      <c r="N11" s="392" t="s">
        <v>702</v>
      </c>
      <c r="O11" s="402"/>
      <c r="P11" s="404" t="s">
        <v>702</v>
      </c>
      <c r="Q11" s="405" t="s">
        <v>702</v>
      </c>
      <c r="R11" s="404" t="s">
        <v>702</v>
      </c>
      <c r="S11" s="706" t="s">
        <v>702</v>
      </c>
      <c r="T11" s="407" t="s">
        <v>702</v>
      </c>
      <c r="U11" s="393">
        <f>'[7]PTBA 16-17-18'!X11</f>
        <v>0</v>
      </c>
      <c r="V11" s="389">
        <f t="shared" si="5"/>
        <v>0</v>
      </c>
      <c r="W11" s="405" t="s">
        <v>702</v>
      </c>
      <c r="X11" s="394">
        <f>'[7]PTBA 16-17-18'!Z11</f>
        <v>0</v>
      </c>
      <c r="Y11" s="749">
        <f>'[7]PTBA 16-17-18'!AA11</f>
        <v>0</v>
      </c>
      <c r="Z11" s="408"/>
      <c r="AA11" s="298"/>
      <c r="AB11" s="401" t="s">
        <v>702</v>
      </c>
      <c r="AC11" s="298"/>
      <c r="AD11" s="393"/>
      <c r="AE11" s="389"/>
      <c r="AF11" s="405"/>
      <c r="AG11" s="394"/>
      <c r="AH11" s="749"/>
      <c r="AI11" s="408"/>
      <c r="AJ11" s="298"/>
      <c r="AK11" s="298"/>
      <c r="AL11" s="410"/>
      <c r="AM11" s="410"/>
      <c r="AN11" s="410"/>
      <c r="AO11" s="410"/>
      <c r="AP11" s="404" t="str">
        <f t="shared" si="1"/>
        <v>pm</v>
      </c>
      <c r="AQ11" s="406" t="s">
        <v>702</v>
      </c>
      <c r="AT11" s="399" t="s">
        <v>1067</v>
      </c>
      <c r="AU11" s="400"/>
      <c r="AV11" s="400"/>
    </row>
    <row r="12" spans="1:48" ht="39.75" customHeight="1" x14ac:dyDescent="0.35">
      <c r="C12" s="1100"/>
      <c r="D12" s="1102"/>
      <c r="E12" s="1122"/>
      <c r="F12" s="1104" t="s">
        <v>1074</v>
      </c>
      <c r="G12" s="1104" t="s">
        <v>1075</v>
      </c>
      <c r="H12" s="386" t="s">
        <v>1076</v>
      </c>
      <c r="I12" s="387">
        <v>2000000</v>
      </c>
      <c r="J12" s="389">
        <f t="shared" si="2"/>
        <v>207369.75797731162</v>
      </c>
      <c r="K12" s="388">
        <f>I12/$AQ12</f>
        <v>0.34561626329551937</v>
      </c>
      <c r="L12" s="389">
        <v>2000000</v>
      </c>
      <c r="M12" s="389">
        <f t="shared" si="3"/>
        <v>207369.75797731162</v>
      </c>
      <c r="N12" s="390">
        <f>L12/$I12</f>
        <v>1</v>
      </c>
      <c r="O12" s="387">
        <v>3750000</v>
      </c>
      <c r="P12" s="389">
        <f t="shared" si="4"/>
        <v>388818.29620745929</v>
      </c>
      <c r="Q12" s="401">
        <f>O12/$AQ12</f>
        <v>0.64803049367909882</v>
      </c>
      <c r="R12" s="724">
        <f>O12</f>
        <v>3750000</v>
      </c>
      <c r="S12" s="724">
        <f>R12/$A$1</f>
        <v>388818.29620745929</v>
      </c>
      <c r="T12" s="390">
        <f t="shared" si="7"/>
        <v>1</v>
      </c>
      <c r="U12" s="393">
        <f>'[7]PTBA 16-17-18'!X12</f>
        <v>0</v>
      </c>
      <c r="V12" s="389">
        <f t="shared" si="5"/>
        <v>0</v>
      </c>
      <c r="W12" s="401">
        <f>U12/$AQ12</f>
        <v>0</v>
      </c>
      <c r="X12" s="394">
        <f>'[7]PTBA 16-17-18'!Z12</f>
        <v>0</v>
      </c>
      <c r="Y12" s="749">
        <f>'[7]PTBA 16-17-18'!AA12</f>
        <v>0</v>
      </c>
      <c r="Z12" s="395"/>
      <c r="AA12" s="298"/>
      <c r="AB12" s="744">
        <f>(I12+O12+U12)/AQ12</f>
        <v>0.99364675697461813</v>
      </c>
      <c r="AC12" s="298"/>
      <c r="AD12" s="393"/>
      <c r="AE12" s="389"/>
      <c r="AF12" s="401"/>
      <c r="AG12" s="394"/>
      <c r="AH12" s="749"/>
      <c r="AI12" s="395"/>
      <c r="AJ12" s="298"/>
      <c r="AK12" s="298"/>
      <c r="AL12" s="396">
        <f t="shared" si="6"/>
        <v>596188.05418477091</v>
      </c>
      <c r="AM12" s="396"/>
      <c r="AN12" s="396"/>
      <c r="AO12" s="396"/>
      <c r="AP12" s="389">
        <f t="shared" si="1"/>
        <v>600000</v>
      </c>
      <c r="AQ12" s="397">
        <f>$A$1*AT12</f>
        <v>5786764.7226134697</v>
      </c>
      <c r="AS12" s="398"/>
      <c r="AT12" s="399">
        <v>600000</v>
      </c>
      <c r="AU12" s="400"/>
      <c r="AV12" s="400"/>
    </row>
    <row r="13" spans="1:48" ht="27.75" customHeight="1" x14ac:dyDescent="0.35">
      <c r="C13" s="1100"/>
      <c r="D13" s="1102"/>
      <c r="E13" s="1123"/>
      <c r="F13" s="1104"/>
      <c r="G13" s="1104"/>
      <c r="H13" s="386" t="s">
        <v>1077</v>
      </c>
      <c r="I13" s="387">
        <v>800000</v>
      </c>
      <c r="J13" s="389">
        <f t="shared" si="2"/>
        <v>82947.903190924641</v>
      </c>
      <c r="K13" s="388">
        <f>I13/$AQ13</f>
        <v>0.41473951595462327</v>
      </c>
      <c r="L13" s="389">
        <v>800000</v>
      </c>
      <c r="M13" s="389">
        <f t="shared" si="3"/>
        <v>82947.903190924641</v>
      </c>
      <c r="N13" s="390">
        <f>L13/$I13</f>
        <v>1</v>
      </c>
      <c r="O13" s="387">
        <v>1110000</v>
      </c>
      <c r="P13" s="389">
        <f t="shared" si="4"/>
        <v>115090.21567740795</v>
      </c>
      <c r="Q13" s="401">
        <f>O13/$AQ13</f>
        <v>0.57545107838703979</v>
      </c>
      <c r="R13" s="724">
        <f>O13</f>
        <v>1110000</v>
      </c>
      <c r="S13" s="724">
        <f>R13/$A$1</f>
        <v>115090.21567740795</v>
      </c>
      <c r="T13" s="390">
        <f t="shared" si="7"/>
        <v>1</v>
      </c>
      <c r="U13" s="393">
        <f>'[7]PTBA 16-17-18'!X13</f>
        <v>0</v>
      </c>
      <c r="V13" s="389">
        <f t="shared" si="5"/>
        <v>0</v>
      </c>
      <c r="W13" s="401">
        <f>U13/$AQ13</f>
        <v>0</v>
      </c>
      <c r="X13" s="394">
        <f>'[7]PTBA 16-17-18'!Z13</f>
        <v>0</v>
      </c>
      <c r="Y13" s="749">
        <f>'[7]PTBA 16-17-18'!AA13</f>
        <v>0</v>
      </c>
      <c r="Z13" s="395"/>
      <c r="AA13" s="298"/>
      <c r="AB13" s="744">
        <f>(I13+O13+U13)/AQ13</f>
        <v>0.99019059434166301</v>
      </c>
      <c r="AC13" s="298"/>
      <c r="AD13" s="393"/>
      <c r="AE13" s="389"/>
      <c r="AF13" s="401"/>
      <c r="AG13" s="394"/>
      <c r="AH13" s="749"/>
      <c r="AI13" s="395"/>
      <c r="AJ13" s="298"/>
      <c r="AK13" s="298"/>
      <c r="AL13" s="396">
        <f t="shared" si="6"/>
        <v>198038.11886833259</v>
      </c>
      <c r="AM13" s="396"/>
      <c r="AN13" s="396"/>
      <c r="AO13" s="396"/>
      <c r="AP13" s="389">
        <f t="shared" si="1"/>
        <v>200000</v>
      </c>
      <c r="AQ13" s="397">
        <f>$A$1*AT13</f>
        <v>1928921.5742044898</v>
      </c>
      <c r="AS13" s="398"/>
      <c r="AT13" s="399">
        <v>200000</v>
      </c>
      <c r="AU13" s="400"/>
      <c r="AV13" s="400"/>
    </row>
    <row r="14" spans="1:48" ht="25.5" customHeight="1" x14ac:dyDescent="0.35">
      <c r="C14" s="1100"/>
      <c r="D14" s="1102"/>
      <c r="E14" s="1121" t="s">
        <v>1255</v>
      </c>
      <c r="F14" s="1104" t="s">
        <v>1078</v>
      </c>
      <c r="G14" s="1104" t="s">
        <v>1079</v>
      </c>
      <c r="H14" s="386" t="s">
        <v>1080</v>
      </c>
      <c r="I14" s="402" t="s">
        <v>702</v>
      </c>
      <c r="J14" s="404" t="s">
        <v>702</v>
      </c>
      <c r="K14" s="403" t="s">
        <v>702</v>
      </c>
      <c r="L14" s="404" t="s">
        <v>702</v>
      </c>
      <c r="M14" s="404" t="s">
        <v>702</v>
      </c>
      <c r="N14" s="392" t="s">
        <v>702</v>
      </c>
      <c r="O14" s="402"/>
      <c r="P14" s="404" t="s">
        <v>702</v>
      </c>
      <c r="Q14" s="405" t="s">
        <v>702</v>
      </c>
      <c r="R14" s="404" t="s">
        <v>702</v>
      </c>
      <c r="S14" s="706" t="s">
        <v>702</v>
      </c>
      <c r="T14" s="407" t="s">
        <v>702</v>
      </c>
      <c r="U14" s="393">
        <f>'[7]PTBA 16-17-18'!X14</f>
        <v>0</v>
      </c>
      <c r="V14" s="389">
        <f t="shared" si="5"/>
        <v>0</v>
      </c>
      <c r="W14" s="405" t="s">
        <v>702</v>
      </c>
      <c r="X14" s="394">
        <f>'[7]PTBA 16-17-18'!Z14</f>
        <v>0</v>
      </c>
      <c r="Y14" s="749">
        <f>'[7]PTBA 16-17-18'!AA14</f>
        <v>0</v>
      </c>
      <c r="Z14" s="408"/>
      <c r="AA14" s="298"/>
      <c r="AB14" s="401" t="s">
        <v>702</v>
      </c>
      <c r="AC14" s="298"/>
      <c r="AD14" s="393"/>
      <c r="AE14" s="389"/>
      <c r="AF14" s="405"/>
      <c r="AG14" s="394"/>
      <c r="AH14" s="749"/>
      <c r="AI14" s="408"/>
      <c r="AJ14" s="298"/>
      <c r="AK14" s="298"/>
      <c r="AL14" s="410"/>
      <c r="AM14" s="410"/>
      <c r="AN14" s="410"/>
      <c r="AO14" s="410"/>
      <c r="AP14" s="404" t="str">
        <f t="shared" si="1"/>
        <v>pm</v>
      </c>
      <c r="AQ14" s="406" t="s">
        <v>702</v>
      </c>
      <c r="AT14" s="399" t="s">
        <v>1067</v>
      </c>
      <c r="AU14" s="400"/>
      <c r="AV14" s="400"/>
    </row>
    <row r="15" spans="1:48" ht="25.5" customHeight="1" x14ac:dyDescent="0.35">
      <c r="C15" s="1100"/>
      <c r="D15" s="1102"/>
      <c r="E15" s="1122"/>
      <c r="F15" s="1104"/>
      <c r="G15" s="1104"/>
      <c r="H15" s="386" t="s">
        <v>1081</v>
      </c>
      <c r="I15" s="387">
        <v>2170000</v>
      </c>
      <c r="J15" s="389">
        <f t="shared" si="2"/>
        <v>224996.1874053831</v>
      </c>
      <c r="K15" s="388">
        <f>I15/$AQ15</f>
        <v>0.24999576378375898</v>
      </c>
      <c r="L15" s="389">
        <f>2170000+1300000</f>
        <v>3470000</v>
      </c>
      <c r="M15" s="389">
        <f t="shared" si="3"/>
        <v>359786.53009063564</v>
      </c>
      <c r="N15" s="390">
        <f>L15/$I15</f>
        <v>1.599078341013825</v>
      </c>
      <c r="O15" s="387">
        <v>6470000</v>
      </c>
      <c r="P15" s="389">
        <f t="shared" si="4"/>
        <v>670841.16705660312</v>
      </c>
      <c r="Q15" s="401">
        <f>O15/$AQ15</f>
        <v>0.74537907450733676</v>
      </c>
      <c r="R15" s="726">
        <f>O15</f>
        <v>6470000</v>
      </c>
      <c r="S15" s="726">
        <f>R15/$A$1</f>
        <v>670841.16705660312</v>
      </c>
      <c r="T15" s="390">
        <f t="shared" si="7"/>
        <v>1</v>
      </c>
      <c r="U15" s="393">
        <f>'[7]PTBA 16-17-18'!X15</f>
        <v>0</v>
      </c>
      <c r="V15" s="389">
        <f t="shared" si="5"/>
        <v>0</v>
      </c>
      <c r="W15" s="401">
        <f>U15/$AQ15</f>
        <v>0</v>
      </c>
      <c r="X15" s="394">
        <f>'[7]PTBA 16-17-18'!Z15</f>
        <v>0</v>
      </c>
      <c r="Y15" s="749">
        <f>'[7]PTBA 16-17-18'!AA15</f>
        <v>0</v>
      </c>
      <c r="Z15" s="409"/>
      <c r="AA15" s="298"/>
      <c r="AB15" s="744">
        <f>(I15+O15+U15)/AQ15</f>
        <v>0.99537483829109574</v>
      </c>
      <c r="AC15" s="298"/>
      <c r="AD15" s="393"/>
      <c r="AE15" s="389"/>
      <c r="AF15" s="401"/>
      <c r="AG15" s="394"/>
      <c r="AH15" s="749"/>
      <c r="AI15" s="409"/>
      <c r="AJ15" s="298"/>
      <c r="AK15" s="298"/>
      <c r="AL15" s="410">
        <f t="shared" si="6"/>
        <v>1030627.6971472388</v>
      </c>
      <c r="AM15" s="410">
        <f>3200000/A1+500000/A1</f>
        <v>383634.05225802644</v>
      </c>
      <c r="AN15" s="410">
        <f>840000/A1+1156000/A1</f>
        <v>206955.01846135699</v>
      </c>
      <c r="AO15" s="410"/>
      <c r="AP15" s="389">
        <f t="shared" si="1"/>
        <v>900000</v>
      </c>
      <c r="AQ15" s="397">
        <f>$A$1*AT15</f>
        <v>8680147.083920205</v>
      </c>
      <c r="AS15" s="398"/>
      <c r="AT15" s="399">
        <v>900000</v>
      </c>
      <c r="AU15" s="400"/>
      <c r="AV15" s="400"/>
    </row>
    <row r="16" spans="1:48" ht="26.25" customHeight="1" x14ac:dyDescent="0.35">
      <c r="C16" s="1100"/>
      <c r="D16" s="1102"/>
      <c r="E16" s="1122"/>
      <c r="F16" s="1104" t="s">
        <v>1082</v>
      </c>
      <c r="G16" s="1104" t="s">
        <v>1083</v>
      </c>
      <c r="H16" s="386" t="s">
        <v>1084</v>
      </c>
      <c r="I16" s="402" t="s">
        <v>702</v>
      </c>
      <c r="J16" s="404" t="s">
        <v>702</v>
      </c>
      <c r="K16" s="403" t="s">
        <v>702</v>
      </c>
      <c r="L16" s="404" t="s">
        <v>702</v>
      </c>
      <c r="M16" s="404" t="s">
        <v>702</v>
      </c>
      <c r="N16" s="392" t="s">
        <v>702</v>
      </c>
      <c r="O16" s="402"/>
      <c r="P16" s="404" t="s">
        <v>702</v>
      </c>
      <c r="Q16" s="401" t="s">
        <v>702</v>
      </c>
      <c r="R16" s="404" t="s">
        <v>702</v>
      </c>
      <c r="S16" s="706" t="s">
        <v>702</v>
      </c>
      <c r="T16" s="407" t="s">
        <v>702</v>
      </c>
      <c r="U16" s="393">
        <f>'[7]PTBA 16-17-18'!X16</f>
        <v>0</v>
      </c>
      <c r="V16" s="389">
        <f t="shared" si="5"/>
        <v>0</v>
      </c>
      <c r="W16" s="401" t="s">
        <v>702</v>
      </c>
      <c r="X16" s="394">
        <f>'[7]PTBA 16-17-18'!Z16</f>
        <v>0</v>
      </c>
      <c r="Y16" s="749">
        <f>'[7]PTBA 16-17-18'!AA16</f>
        <v>0</v>
      </c>
      <c r="Z16" s="408"/>
      <c r="AA16" s="298"/>
      <c r="AB16" s="401" t="s">
        <v>702</v>
      </c>
      <c r="AC16" s="298"/>
      <c r="AD16" s="393"/>
      <c r="AE16" s="389"/>
      <c r="AF16" s="401"/>
      <c r="AG16" s="394"/>
      <c r="AH16" s="749"/>
      <c r="AI16" s="408"/>
      <c r="AJ16" s="298"/>
      <c r="AK16" s="298"/>
      <c r="AL16" s="298"/>
      <c r="AM16" s="298"/>
      <c r="AN16" s="298"/>
      <c r="AO16" s="298"/>
      <c r="AP16" s="404" t="str">
        <f t="shared" si="1"/>
        <v>pm</v>
      </c>
      <c r="AQ16" s="406" t="s">
        <v>702</v>
      </c>
      <c r="AT16" s="399" t="s">
        <v>1067</v>
      </c>
      <c r="AU16" s="400"/>
      <c r="AV16" s="400"/>
    </row>
    <row r="17" spans="1:49" ht="37.5" customHeight="1" x14ac:dyDescent="0.35">
      <c r="C17" s="1100"/>
      <c r="D17" s="1103"/>
      <c r="E17" s="1123"/>
      <c r="F17" s="1104"/>
      <c r="G17" s="1104"/>
      <c r="H17" s="386" t="s">
        <v>1085</v>
      </c>
      <c r="I17" s="387"/>
      <c r="J17" s="389">
        <f t="shared" si="2"/>
        <v>0</v>
      </c>
      <c r="K17" s="388">
        <f t="shared" ref="K17:K28" si="8">I17/$AQ17</f>
        <v>0</v>
      </c>
      <c r="L17" s="389">
        <v>340000</v>
      </c>
      <c r="M17" s="389">
        <f t="shared" si="3"/>
        <v>35252.858856142971</v>
      </c>
      <c r="N17" s="392" t="s">
        <v>702</v>
      </c>
      <c r="O17" s="387">
        <v>2890000</v>
      </c>
      <c r="P17" s="389">
        <f t="shared" si="4"/>
        <v>299649.30027721531</v>
      </c>
      <c r="Q17" s="401">
        <f t="shared" ref="Q17:Q28" si="9">O17/$AQ17</f>
        <v>0.99883100092405097</v>
      </c>
      <c r="R17" s="726">
        <f>O17</f>
        <v>2890000</v>
      </c>
      <c r="S17" s="726">
        <f>R17/$A$1</f>
        <v>299649.30027721531</v>
      </c>
      <c r="T17" s="390">
        <f t="shared" si="7"/>
        <v>1</v>
      </c>
      <c r="U17" s="393">
        <f>'[7]PTBA 16-17-18'!X17</f>
        <v>0</v>
      </c>
      <c r="V17" s="389">
        <f t="shared" si="5"/>
        <v>0</v>
      </c>
      <c r="W17" s="401">
        <f t="shared" ref="W17:W28" si="10">U17/$AQ17</f>
        <v>0</v>
      </c>
      <c r="X17" s="394">
        <f>'[7]PTBA 16-17-18'!Z17</f>
        <v>0</v>
      </c>
      <c r="Y17" s="749">
        <f>'[7]PTBA 16-17-18'!AA17</f>
        <v>0</v>
      </c>
      <c r="Z17" s="412"/>
      <c r="AA17" s="298"/>
      <c r="AB17" s="744">
        <f t="shared" ref="AB17:AB28" si="11">(I17+O17+U17)/AQ17</f>
        <v>0.99883100092405097</v>
      </c>
      <c r="AC17" s="298"/>
      <c r="AD17" s="393"/>
      <c r="AE17" s="389"/>
      <c r="AF17" s="401"/>
      <c r="AG17" s="394"/>
      <c r="AH17" s="749"/>
      <c r="AI17" s="412"/>
      <c r="AJ17" s="298"/>
      <c r="AK17" s="298"/>
      <c r="AL17" s="298">
        <f t="shared" si="6"/>
        <v>334902.15913335828</v>
      </c>
      <c r="AM17" s="298">
        <f>3400000/A1+400000/A1</f>
        <v>394002.54015689209</v>
      </c>
      <c r="AN17" s="298">
        <f>1330000/A1+754000/A1</f>
        <v>216079.2878123587</v>
      </c>
      <c r="AO17" s="298"/>
      <c r="AP17" s="389">
        <f t="shared" si="1"/>
        <v>300000</v>
      </c>
      <c r="AQ17" s="397">
        <f>$A$1*AT17</f>
        <v>2893382.3613067348</v>
      </c>
      <c r="AT17" s="399">
        <v>300000</v>
      </c>
      <c r="AU17" s="400"/>
      <c r="AV17" s="400"/>
    </row>
    <row r="18" spans="1:49" s="414" customFormat="1" ht="24.75" customHeight="1" x14ac:dyDescent="0.3">
      <c r="A18" s="413">
        <f>L18/$A$1</f>
        <v>1346866.5780626389</v>
      </c>
      <c r="C18" s="1074" t="s">
        <v>1086</v>
      </c>
      <c r="D18" s="1075"/>
      <c r="E18" s="1075"/>
      <c r="F18" s="1075"/>
      <c r="G18" s="1075"/>
      <c r="H18" s="1076"/>
      <c r="I18" s="415">
        <f>SUM(I4:I17)</f>
        <v>11140000</v>
      </c>
      <c r="J18" s="417">
        <f>SUM(J4:J17)</f>
        <v>1155049.5519336257</v>
      </c>
      <c r="K18" s="416">
        <f t="shared" si="8"/>
        <v>0.30001287063211057</v>
      </c>
      <c r="L18" s="417">
        <f>SUM(L4:L17)</f>
        <v>12990000</v>
      </c>
      <c r="M18" s="514">
        <f t="shared" si="3"/>
        <v>1346866.5780626389</v>
      </c>
      <c r="N18" s="418">
        <f>L18/$I18</f>
        <v>1.1660682226211849</v>
      </c>
      <c r="O18" s="415">
        <f>SUM(O4:O17)</f>
        <v>24806000</v>
      </c>
      <c r="P18" s="417">
        <f>SUM(P4:P17)</f>
        <v>2572007.1081925966</v>
      </c>
      <c r="Q18" s="416">
        <f t="shared" si="9"/>
        <v>0.6680537943357393</v>
      </c>
      <c r="R18" s="417">
        <f>SUM(R4:R17)</f>
        <v>24806000</v>
      </c>
      <c r="S18" s="720">
        <f>SUM(S4:S17)</f>
        <v>2572007.1081925966</v>
      </c>
      <c r="T18" s="418">
        <f t="shared" si="7"/>
        <v>1</v>
      </c>
      <c r="U18" s="417">
        <f>SUM(U4:U17)</f>
        <v>1024000</v>
      </c>
      <c r="V18" s="417">
        <f>SUM(V4:V17)</f>
        <v>106173.31608438355</v>
      </c>
      <c r="W18" s="416">
        <f t="shared" si="10"/>
        <v>2.7577484697242482E-2</v>
      </c>
      <c r="X18" s="417">
        <f t="shared" ref="X18:Z18" si="12">SUM(X4:X17)</f>
        <v>1024000</v>
      </c>
      <c r="Y18" s="707">
        <f t="shared" si="12"/>
        <v>106173.31608438355</v>
      </c>
      <c r="Z18" s="417">
        <f t="shared" si="12"/>
        <v>0</v>
      </c>
      <c r="AA18" s="420"/>
      <c r="AB18" s="416">
        <f t="shared" si="11"/>
        <v>0.99564414966509229</v>
      </c>
      <c r="AC18" s="420"/>
      <c r="AD18" s="417"/>
      <c r="AE18" s="417"/>
      <c r="AF18" s="416"/>
      <c r="AG18" s="417"/>
      <c r="AH18" s="707"/>
      <c r="AI18" s="417"/>
      <c r="AJ18" s="420"/>
      <c r="AK18" s="420"/>
      <c r="AL18" s="417">
        <f>SUM(AL4:AL17)</f>
        <v>3918873.6862552348</v>
      </c>
      <c r="AM18" s="417"/>
      <c r="AN18" s="417"/>
      <c r="AO18" s="417"/>
      <c r="AP18" s="421">
        <f>SUM(AP4:AP17)</f>
        <v>3850000</v>
      </c>
      <c r="AQ18" s="422">
        <f>SUM(AQ4:AQ17)</f>
        <v>37131740.303436428</v>
      </c>
      <c r="AT18" s="417">
        <f>SUM(AT4:AT17)</f>
        <v>3850000</v>
      </c>
      <c r="AU18" s="423"/>
      <c r="AV18" s="423"/>
    </row>
    <row r="19" spans="1:49" ht="24.75" customHeight="1" x14ac:dyDescent="0.35">
      <c r="C19" s="1117" t="s">
        <v>1087</v>
      </c>
      <c r="D19" s="1118" t="s">
        <v>861</v>
      </c>
      <c r="E19" s="1124" t="s">
        <v>1256</v>
      </c>
      <c r="F19" s="1139" t="s">
        <v>1088</v>
      </c>
      <c r="G19" s="424"/>
      <c r="H19" s="425" t="s">
        <v>1089</v>
      </c>
      <c r="I19" s="426"/>
      <c r="J19" s="427">
        <f t="shared" si="2"/>
        <v>0</v>
      </c>
      <c r="K19" s="391">
        <f t="shared" si="8"/>
        <v>0</v>
      </c>
      <c r="L19" s="427"/>
      <c r="M19" s="427">
        <f t="shared" si="3"/>
        <v>0</v>
      </c>
      <c r="N19" s="392" t="s">
        <v>702</v>
      </c>
      <c r="O19" s="426">
        <v>480000</v>
      </c>
      <c r="P19" s="427">
        <f t="shared" si="4"/>
        <v>49768.74191455479</v>
      </c>
      <c r="Q19" s="391">
        <f t="shared" si="9"/>
        <v>0.99537483829109574</v>
      </c>
      <c r="R19" s="427">
        <f>360000*(1+1%)</f>
        <v>363600</v>
      </c>
      <c r="S19" s="592">
        <f t="shared" ref="S19:S28" si="13">R19/$A$1</f>
        <v>37699.82200027525</v>
      </c>
      <c r="T19" s="390">
        <f t="shared" si="7"/>
        <v>0.75749999999999995</v>
      </c>
      <c r="U19" s="433">
        <f>'[7]PTBA 16-17-18'!X19</f>
        <v>0</v>
      </c>
      <c r="V19" s="427">
        <f t="shared" ref="V19" si="14">U19/$A$1</f>
        <v>0</v>
      </c>
      <c r="W19" s="744">
        <f t="shared" ref="W19" si="15">U19/$AQ19</f>
        <v>0</v>
      </c>
      <c r="X19" s="427">
        <f>'[7]PTBA 16-17-18'!Z19</f>
        <v>0</v>
      </c>
      <c r="Y19" s="592">
        <f>'[7]PTBA 16-17-18'!AA19</f>
        <v>0</v>
      </c>
      <c r="Z19" s="428"/>
      <c r="AA19" s="298"/>
      <c r="AB19" s="744">
        <f t="shared" si="11"/>
        <v>0.99537483829109574</v>
      </c>
      <c r="AC19" s="298"/>
      <c r="AD19" s="433"/>
      <c r="AE19" s="427"/>
      <c r="AF19" s="744"/>
      <c r="AG19" s="427"/>
      <c r="AH19" s="592"/>
      <c r="AI19" s="428"/>
      <c r="AJ19" s="298"/>
      <c r="AK19" s="298"/>
      <c r="AL19" s="298"/>
      <c r="AM19" s="298"/>
      <c r="AN19" s="298"/>
      <c r="AO19" s="298"/>
      <c r="AP19" s="429">
        <f t="shared" ref="AP19:AP64" si="16">AT19</f>
        <v>50000</v>
      </c>
      <c r="AQ19" s="430">
        <f t="shared" ref="AQ19:AQ27" si="17">$A$1*AT19</f>
        <v>482230.39355112246</v>
      </c>
      <c r="AT19" s="431">
        <v>50000</v>
      </c>
      <c r="AU19" s="432"/>
      <c r="AV19" s="432"/>
    </row>
    <row r="20" spans="1:49" ht="24.75" customHeight="1" x14ac:dyDescent="0.35">
      <c r="C20" s="1117"/>
      <c r="D20" s="1119"/>
      <c r="E20" s="1125"/>
      <c r="F20" s="1139"/>
      <c r="G20" s="424"/>
      <c r="H20" s="425" t="s">
        <v>1090</v>
      </c>
      <c r="I20" s="426"/>
      <c r="J20" s="427">
        <f t="shared" si="2"/>
        <v>0</v>
      </c>
      <c r="K20" s="391">
        <f t="shared" si="8"/>
        <v>0</v>
      </c>
      <c r="L20" s="427"/>
      <c r="M20" s="427">
        <f t="shared" si="3"/>
        <v>0</v>
      </c>
      <c r="N20" s="392" t="s">
        <v>702</v>
      </c>
      <c r="O20" s="426">
        <v>700000</v>
      </c>
      <c r="P20" s="427">
        <f t="shared" si="4"/>
        <v>72579.415292059071</v>
      </c>
      <c r="Q20" s="391">
        <f t="shared" si="9"/>
        <v>0.36289707646029534</v>
      </c>
      <c r="R20" s="427">
        <v>0</v>
      </c>
      <c r="S20" s="592">
        <f t="shared" si="13"/>
        <v>0</v>
      </c>
      <c r="T20" s="390">
        <f t="shared" si="7"/>
        <v>0</v>
      </c>
      <c r="U20" s="433">
        <f>'[7]PTBA 16-17-18'!X20</f>
        <v>0</v>
      </c>
      <c r="V20" s="427">
        <f t="shared" ref="V20:V27" si="18">U20/$A$1</f>
        <v>0</v>
      </c>
      <c r="W20" s="391">
        <f t="shared" si="10"/>
        <v>0</v>
      </c>
      <c r="X20" s="427">
        <f>'[7]PTBA 16-17-18'!Z20</f>
        <v>0</v>
      </c>
      <c r="Y20" s="592">
        <f>'[7]PTBA 16-17-18'!AA20</f>
        <v>0</v>
      </c>
      <c r="Z20" s="428"/>
      <c r="AA20" s="298"/>
      <c r="AB20" s="744">
        <f t="shared" si="11"/>
        <v>0.36289707646029534</v>
      </c>
      <c r="AC20" s="298"/>
      <c r="AD20" s="433"/>
      <c r="AE20" s="427"/>
      <c r="AF20" s="744"/>
      <c r="AG20" s="427"/>
      <c r="AH20" s="592"/>
      <c r="AI20" s="428"/>
      <c r="AJ20" s="298"/>
      <c r="AK20" s="298"/>
      <c r="AL20" s="298"/>
      <c r="AM20" s="298"/>
      <c r="AN20" s="298"/>
      <c r="AO20" s="298"/>
      <c r="AP20" s="429">
        <f t="shared" si="16"/>
        <v>200000</v>
      </c>
      <c r="AQ20" s="430">
        <f t="shared" si="17"/>
        <v>1928921.5742044898</v>
      </c>
      <c r="AT20" s="431">
        <v>200000</v>
      </c>
      <c r="AU20" s="432"/>
      <c r="AV20" s="432"/>
    </row>
    <row r="21" spans="1:49" ht="36.75" customHeight="1" x14ac:dyDescent="0.35">
      <c r="C21" s="1117"/>
      <c r="D21" s="1119"/>
      <c r="E21" s="1125"/>
      <c r="F21" s="1139" t="s">
        <v>1091</v>
      </c>
      <c r="G21" s="424"/>
      <c r="H21" s="425" t="s">
        <v>1092</v>
      </c>
      <c r="I21" s="426"/>
      <c r="J21" s="427">
        <f t="shared" si="2"/>
        <v>0</v>
      </c>
      <c r="K21" s="391">
        <f t="shared" si="8"/>
        <v>0</v>
      </c>
      <c r="L21" s="427"/>
      <c r="M21" s="427">
        <f t="shared" si="3"/>
        <v>0</v>
      </c>
      <c r="N21" s="392" t="s">
        <v>702</v>
      </c>
      <c r="O21" s="426">
        <v>1000000</v>
      </c>
      <c r="P21" s="427">
        <f t="shared" si="4"/>
        <v>103684.87898865581</v>
      </c>
      <c r="Q21" s="391">
        <f t="shared" si="9"/>
        <v>0.51842439494327908</v>
      </c>
      <c r="R21" s="726">
        <f>O21</f>
        <v>1000000</v>
      </c>
      <c r="S21" s="726">
        <f t="shared" si="13"/>
        <v>103684.87898865581</v>
      </c>
      <c r="T21" s="390">
        <f t="shared" si="7"/>
        <v>1</v>
      </c>
      <c r="U21" s="433">
        <f>'[7]PTBA 16-17-18'!X21</f>
        <v>928000</v>
      </c>
      <c r="V21" s="427">
        <f t="shared" si="18"/>
        <v>96219.567701472595</v>
      </c>
      <c r="W21" s="391">
        <f t="shared" si="10"/>
        <v>0.48109783850736298</v>
      </c>
      <c r="X21" s="427">
        <f>'[7]PTBA 16-17-18'!Z21</f>
        <v>928000</v>
      </c>
      <c r="Y21" s="592">
        <f>'[7]PTBA 16-17-18'!AA21</f>
        <v>96219.567701472595</v>
      </c>
      <c r="Z21" s="428"/>
      <c r="AA21" s="298"/>
      <c r="AB21" s="744">
        <f t="shared" si="11"/>
        <v>0.99952223345064206</v>
      </c>
      <c r="AC21" s="298"/>
      <c r="AD21" s="433"/>
      <c r="AE21" s="427"/>
      <c r="AF21" s="744"/>
      <c r="AG21" s="427"/>
      <c r="AH21" s="592"/>
      <c r="AI21" s="428"/>
      <c r="AJ21" s="298"/>
      <c r="AK21" s="298"/>
      <c r="AL21" s="298"/>
      <c r="AM21" s="298"/>
      <c r="AN21" s="298"/>
      <c r="AO21" s="298"/>
      <c r="AP21" s="429">
        <f t="shared" si="16"/>
        <v>200000</v>
      </c>
      <c r="AQ21" s="430">
        <f t="shared" si="17"/>
        <v>1928921.5742044898</v>
      </c>
      <c r="AT21" s="431">
        <v>200000</v>
      </c>
      <c r="AU21" s="432"/>
      <c r="AV21" s="432"/>
    </row>
    <row r="22" spans="1:49" ht="24" customHeight="1" x14ac:dyDescent="0.35">
      <c r="C22" s="1117"/>
      <c r="D22" s="1119"/>
      <c r="E22" s="1125"/>
      <c r="F22" s="1139"/>
      <c r="G22" s="424"/>
      <c r="H22" s="425" t="s">
        <v>1093</v>
      </c>
      <c r="I22" s="426"/>
      <c r="J22" s="427">
        <f t="shared" si="2"/>
        <v>0</v>
      </c>
      <c r="K22" s="391">
        <f t="shared" si="8"/>
        <v>0</v>
      </c>
      <c r="L22" s="427"/>
      <c r="M22" s="427">
        <f t="shared" si="3"/>
        <v>0</v>
      </c>
      <c r="N22" s="392" t="s">
        <v>702</v>
      </c>
      <c r="O22" s="426">
        <v>450000</v>
      </c>
      <c r="P22" s="427">
        <f t="shared" si="4"/>
        <v>46658.195544895112</v>
      </c>
      <c r="Q22" s="391">
        <f t="shared" si="9"/>
        <v>0.23329097772447557</v>
      </c>
      <c r="R22" s="427">
        <f>+(319350+113400)*(1+1%)</f>
        <v>437077.5</v>
      </c>
      <c r="S22" s="592">
        <f t="shared" si="13"/>
        <v>45318.327696164211</v>
      </c>
      <c r="T22" s="390">
        <f t="shared" si="7"/>
        <v>0.97128333333333339</v>
      </c>
      <c r="U22" s="433">
        <f>'[7]PTBA 16-17-18'!X22</f>
        <v>938700</v>
      </c>
      <c r="V22" s="427">
        <f t="shared" si="18"/>
        <v>97328.995906651209</v>
      </c>
      <c r="W22" s="391">
        <f t="shared" si="10"/>
        <v>0.48664497953325603</v>
      </c>
      <c r="X22" s="427">
        <f>'[7]PTBA 16-17-18'!Z22</f>
        <v>0</v>
      </c>
      <c r="Y22" s="592">
        <f>'[7]PTBA 16-17-18'!AA22</f>
        <v>0</v>
      </c>
      <c r="Z22" s="428"/>
      <c r="AA22" s="298"/>
      <c r="AB22" s="744">
        <f t="shared" si="11"/>
        <v>0.71993595725773163</v>
      </c>
      <c r="AC22" s="298"/>
      <c r="AD22" s="433"/>
      <c r="AE22" s="427"/>
      <c r="AF22" s="744"/>
      <c r="AG22" s="427"/>
      <c r="AH22" s="592"/>
      <c r="AI22" s="428"/>
      <c r="AJ22" s="298"/>
      <c r="AK22" s="298"/>
      <c r="AL22" s="298"/>
      <c r="AM22" s="298"/>
      <c r="AN22" s="298"/>
      <c r="AO22" s="298"/>
      <c r="AP22" s="429">
        <f t="shared" si="16"/>
        <v>200000</v>
      </c>
      <c r="AQ22" s="430">
        <f t="shared" si="17"/>
        <v>1928921.5742044898</v>
      </c>
      <c r="AT22" s="431">
        <v>200000</v>
      </c>
      <c r="AU22" s="432"/>
      <c r="AV22" s="432"/>
    </row>
    <row r="23" spans="1:49" ht="23" x14ac:dyDescent="0.35">
      <c r="C23" s="1117"/>
      <c r="D23" s="1119"/>
      <c r="E23" s="1125"/>
      <c r="F23" s="1139"/>
      <c r="G23" s="424"/>
      <c r="H23" s="425" t="s">
        <v>1094</v>
      </c>
      <c r="I23" s="426"/>
      <c r="J23" s="427">
        <f t="shared" si="2"/>
        <v>0</v>
      </c>
      <c r="K23" s="391">
        <f t="shared" si="8"/>
        <v>0</v>
      </c>
      <c r="L23" s="427"/>
      <c r="M23" s="427">
        <f t="shared" si="3"/>
        <v>0</v>
      </c>
      <c r="N23" s="392" t="s">
        <v>702</v>
      </c>
      <c r="O23" s="426">
        <v>960000</v>
      </c>
      <c r="P23" s="427">
        <f t="shared" si="4"/>
        <v>99537.48382910958</v>
      </c>
      <c r="Q23" s="391">
        <f t="shared" si="9"/>
        <v>0.99537483829109574</v>
      </c>
      <c r="R23" s="427">
        <f>607200*(1+1%)</f>
        <v>613272</v>
      </c>
      <c r="S23" s="592">
        <f t="shared" si="13"/>
        <v>63587.033107130927</v>
      </c>
      <c r="T23" s="390">
        <f t="shared" si="7"/>
        <v>0.63882499999999998</v>
      </c>
      <c r="U23" s="433">
        <f>'[7]PTBA 16-17-18'!X23</f>
        <v>0</v>
      </c>
      <c r="V23" s="427">
        <f t="shared" si="18"/>
        <v>0</v>
      </c>
      <c r="W23" s="391">
        <f t="shared" si="10"/>
        <v>0</v>
      </c>
      <c r="X23" s="427">
        <f>'[7]PTBA 16-17-18'!Z23</f>
        <v>0</v>
      </c>
      <c r="Y23" s="592">
        <f>'[7]PTBA 16-17-18'!AA23</f>
        <v>0</v>
      </c>
      <c r="Z23" s="428"/>
      <c r="AA23" s="298"/>
      <c r="AB23" s="744">
        <f t="shared" si="11"/>
        <v>0.99537483829109574</v>
      </c>
      <c r="AC23" s="298"/>
      <c r="AD23" s="433"/>
      <c r="AE23" s="427"/>
      <c r="AF23" s="744"/>
      <c r="AG23" s="427"/>
      <c r="AH23" s="592"/>
      <c r="AI23" s="428"/>
      <c r="AJ23" s="298"/>
      <c r="AK23" s="298"/>
      <c r="AL23" s="298"/>
      <c r="AM23" s="298"/>
      <c r="AN23" s="298"/>
      <c r="AO23" s="298"/>
      <c r="AP23" s="429">
        <f t="shared" si="16"/>
        <v>100000</v>
      </c>
      <c r="AQ23" s="430">
        <f t="shared" si="17"/>
        <v>964460.78710224491</v>
      </c>
      <c r="AT23" s="431">
        <v>100000</v>
      </c>
      <c r="AU23" s="432"/>
      <c r="AV23" s="432"/>
    </row>
    <row r="24" spans="1:49" ht="23" x14ac:dyDescent="0.35">
      <c r="C24" s="1117"/>
      <c r="D24" s="1119"/>
      <c r="E24" s="1126" t="s">
        <v>1257</v>
      </c>
      <c r="F24" s="1139" t="s">
        <v>1095</v>
      </c>
      <c r="G24" s="424"/>
      <c r="H24" s="425" t="s">
        <v>1096</v>
      </c>
      <c r="I24" s="435"/>
      <c r="J24" s="436">
        <f t="shared" si="2"/>
        <v>0</v>
      </c>
      <c r="K24" s="391">
        <f t="shared" si="8"/>
        <v>0</v>
      </c>
      <c r="L24" s="436"/>
      <c r="M24" s="436">
        <f t="shared" si="3"/>
        <v>0</v>
      </c>
      <c r="N24" s="392" t="s">
        <v>702</v>
      </c>
      <c r="O24" s="435">
        <v>250000</v>
      </c>
      <c r="P24" s="436">
        <f t="shared" si="4"/>
        <v>25921.219747163952</v>
      </c>
      <c r="Q24" s="391">
        <f t="shared" si="9"/>
        <v>0.35028675334005338</v>
      </c>
      <c r="R24" s="436">
        <v>0</v>
      </c>
      <c r="S24" s="708">
        <f t="shared" si="13"/>
        <v>0</v>
      </c>
      <c r="T24" s="390">
        <f t="shared" si="7"/>
        <v>0</v>
      </c>
      <c r="U24" s="433">
        <f>'[7]PTBA 16-17-18'!X24</f>
        <v>0</v>
      </c>
      <c r="V24" s="427">
        <f t="shared" si="18"/>
        <v>0</v>
      </c>
      <c r="W24" s="391">
        <f t="shared" si="10"/>
        <v>0</v>
      </c>
      <c r="X24" s="427">
        <f>'[7]PTBA 16-17-18'!Z24</f>
        <v>0</v>
      </c>
      <c r="Y24" s="592">
        <f>'[7]PTBA 16-17-18'!AA24</f>
        <v>0</v>
      </c>
      <c r="Z24" s="437"/>
      <c r="AA24" s="298"/>
      <c r="AB24" s="744">
        <f t="shared" si="11"/>
        <v>0.35028675334005338</v>
      </c>
      <c r="AC24" s="298"/>
      <c r="AD24" s="433"/>
      <c r="AE24" s="427"/>
      <c r="AF24" s="744"/>
      <c r="AG24" s="427"/>
      <c r="AH24" s="592"/>
      <c r="AI24" s="437"/>
      <c r="AJ24" s="298"/>
      <c r="AK24" s="298"/>
      <c r="AL24" s="298"/>
      <c r="AM24" s="298"/>
      <c r="AN24" s="298"/>
      <c r="AO24" s="298"/>
      <c r="AP24" s="429">
        <f t="shared" si="16"/>
        <v>74000</v>
      </c>
      <c r="AQ24" s="430">
        <f t="shared" si="17"/>
        <v>713700.98245566129</v>
      </c>
      <c r="AT24" s="431">
        <v>74000</v>
      </c>
      <c r="AU24" s="432"/>
      <c r="AV24" s="432"/>
    </row>
    <row r="25" spans="1:49" ht="23" x14ac:dyDescent="0.35">
      <c r="C25" s="1117"/>
      <c r="D25" s="1119"/>
      <c r="E25" s="1126"/>
      <c r="F25" s="1139"/>
      <c r="G25" s="424"/>
      <c r="H25" s="425" t="s">
        <v>1097</v>
      </c>
      <c r="I25" s="426"/>
      <c r="J25" s="427">
        <f t="shared" si="2"/>
        <v>0</v>
      </c>
      <c r="K25" s="391">
        <f t="shared" si="8"/>
        <v>0</v>
      </c>
      <c r="L25" s="427"/>
      <c r="M25" s="427">
        <f t="shared" si="3"/>
        <v>0</v>
      </c>
      <c r="N25" s="392" t="s">
        <v>702</v>
      </c>
      <c r="O25" s="426">
        <v>960000</v>
      </c>
      <c r="P25" s="427">
        <f t="shared" si="4"/>
        <v>99537.48382910958</v>
      </c>
      <c r="Q25" s="391">
        <f t="shared" si="9"/>
        <v>0.99537483829109574</v>
      </c>
      <c r="R25" s="427">
        <f>638400*(1+1%)</f>
        <v>644784</v>
      </c>
      <c r="S25" s="592">
        <f t="shared" si="13"/>
        <v>66854.351013821448</v>
      </c>
      <c r="T25" s="390">
        <f t="shared" si="7"/>
        <v>0.67164999999999997</v>
      </c>
      <c r="U25" s="433">
        <f>'[7]PTBA 16-17-18'!X25</f>
        <v>0</v>
      </c>
      <c r="V25" s="427">
        <f t="shared" si="18"/>
        <v>0</v>
      </c>
      <c r="W25" s="391">
        <f t="shared" si="10"/>
        <v>0</v>
      </c>
      <c r="X25" s="427">
        <f>'[7]PTBA 16-17-18'!Z25</f>
        <v>0</v>
      </c>
      <c r="Y25" s="592">
        <f>'[7]PTBA 16-17-18'!AA25</f>
        <v>0</v>
      </c>
      <c r="Z25" s="428"/>
      <c r="AA25" s="298"/>
      <c r="AB25" s="744">
        <f t="shared" si="11"/>
        <v>0.99537483829109574</v>
      </c>
      <c r="AC25" s="298"/>
      <c r="AD25" s="433"/>
      <c r="AE25" s="427"/>
      <c r="AF25" s="744"/>
      <c r="AG25" s="427"/>
      <c r="AH25" s="592"/>
      <c r="AI25" s="428"/>
      <c r="AJ25" s="298"/>
      <c r="AK25" s="298"/>
      <c r="AL25" s="298"/>
      <c r="AM25" s="298"/>
      <c r="AN25" s="298"/>
      <c r="AO25" s="298"/>
      <c r="AP25" s="429">
        <f t="shared" si="16"/>
        <v>100000</v>
      </c>
      <c r="AQ25" s="430">
        <f t="shared" si="17"/>
        <v>964460.78710224491</v>
      </c>
      <c r="AT25" s="431">
        <v>100000</v>
      </c>
      <c r="AU25" s="432"/>
      <c r="AV25" s="432"/>
    </row>
    <row r="26" spans="1:49" ht="23" x14ac:dyDescent="0.35">
      <c r="C26" s="1117"/>
      <c r="D26" s="1119"/>
      <c r="E26" s="1126"/>
      <c r="F26" s="1139" t="s">
        <v>1098</v>
      </c>
      <c r="G26" s="424"/>
      <c r="H26" s="425" t="s">
        <v>1099</v>
      </c>
      <c r="I26" s="426">
        <v>1700000</v>
      </c>
      <c r="J26" s="427">
        <f t="shared" si="2"/>
        <v>176264.29428071488</v>
      </c>
      <c r="K26" s="391">
        <f t="shared" si="8"/>
        <v>0.44066073570178721</v>
      </c>
      <c r="L26" s="427">
        <v>1500000</v>
      </c>
      <c r="M26" s="427">
        <f t="shared" si="3"/>
        <v>155527.31848298371</v>
      </c>
      <c r="N26" s="390">
        <f>L26/$I26</f>
        <v>0.88235294117647056</v>
      </c>
      <c r="O26" s="426">
        <v>1000000</v>
      </c>
      <c r="P26" s="427">
        <f t="shared" si="4"/>
        <v>103684.87898865581</v>
      </c>
      <c r="Q26" s="391">
        <f t="shared" si="9"/>
        <v>0.25921219747163954</v>
      </c>
      <c r="R26" s="592">
        <f>O26</f>
        <v>1000000</v>
      </c>
      <c r="S26" s="592">
        <f t="shared" si="13"/>
        <v>103684.87898865581</v>
      </c>
      <c r="T26" s="390">
        <f t="shared" si="7"/>
        <v>1</v>
      </c>
      <c r="U26" s="433">
        <f>'[7]PTBA 16-17-18'!X26</f>
        <v>3864153</v>
      </c>
      <c r="V26" s="427">
        <f t="shared" si="18"/>
        <v>400654.23619865131</v>
      </c>
      <c r="W26" s="391">
        <f t="shared" si="10"/>
        <v>1.0016355904966283</v>
      </c>
      <c r="X26" s="427">
        <f>'[7]PTBA 16-17-18'!Z26</f>
        <v>3571130.2207359839</v>
      </c>
      <c r="Y26" s="592">
        <f>'[7]PTBA 16-17-18'!AA26</f>
        <v>370272.20478974219</v>
      </c>
      <c r="Z26" s="428"/>
      <c r="AA26" s="298"/>
      <c r="AB26" s="744">
        <f t="shared" si="11"/>
        <v>1.7015085236700551</v>
      </c>
      <c r="AC26" s="298"/>
      <c r="AD26" s="433"/>
      <c r="AE26" s="427"/>
      <c r="AF26" s="744"/>
      <c r="AG26" s="427"/>
      <c r="AH26" s="592"/>
      <c r="AI26" s="428"/>
      <c r="AJ26" s="298"/>
      <c r="AK26" s="298"/>
      <c r="AL26" s="298"/>
      <c r="AM26" s="298"/>
      <c r="AN26" s="298"/>
      <c r="AO26" s="298"/>
      <c r="AP26" s="429">
        <f t="shared" si="16"/>
        <v>400000</v>
      </c>
      <c r="AQ26" s="430">
        <f t="shared" si="17"/>
        <v>3857843.1484089796</v>
      </c>
      <c r="AR26" s="438">
        <f>I26/AQ26</f>
        <v>0.44066073570178721</v>
      </c>
      <c r="AT26" s="431">
        <v>400000</v>
      </c>
      <c r="AU26" s="432"/>
      <c r="AV26" s="432"/>
      <c r="AW26" s="308"/>
    </row>
    <row r="27" spans="1:49" ht="23" x14ac:dyDescent="0.35">
      <c r="C27" s="1117"/>
      <c r="D27" s="1120"/>
      <c r="E27" s="1126"/>
      <c r="F27" s="1139"/>
      <c r="G27" s="424"/>
      <c r="H27" s="425" t="s">
        <v>1100</v>
      </c>
      <c r="I27" s="426"/>
      <c r="J27" s="427">
        <f t="shared" si="2"/>
        <v>0</v>
      </c>
      <c r="K27" s="391">
        <f t="shared" si="8"/>
        <v>0</v>
      </c>
      <c r="L27" s="427"/>
      <c r="M27" s="427">
        <f t="shared" si="3"/>
        <v>0</v>
      </c>
      <c r="N27" s="392" t="s">
        <v>702</v>
      </c>
      <c r="O27" s="426">
        <v>500000</v>
      </c>
      <c r="P27" s="427">
        <f t="shared" si="4"/>
        <v>51842.439494327904</v>
      </c>
      <c r="Q27" s="391">
        <f t="shared" si="9"/>
        <v>0.12787972248230861</v>
      </c>
      <c r="R27" s="735">
        <v>1500000</v>
      </c>
      <c r="S27" s="735">
        <f t="shared" si="13"/>
        <v>155527.31848298371</v>
      </c>
      <c r="T27" s="390">
        <f t="shared" si="7"/>
        <v>3</v>
      </c>
      <c r="U27" s="433">
        <f>'[7]PTBA 16-17-18'!X27</f>
        <v>0</v>
      </c>
      <c r="V27" s="427">
        <f t="shared" si="18"/>
        <v>0</v>
      </c>
      <c r="W27" s="391">
        <f t="shared" si="10"/>
        <v>0</v>
      </c>
      <c r="X27" s="427">
        <f>'[7]PTBA 16-17-18'!Z27</f>
        <v>0</v>
      </c>
      <c r="Y27" s="592">
        <f>'[7]PTBA 16-17-18'!AA27</f>
        <v>0</v>
      </c>
      <c r="Z27" s="428"/>
      <c r="AA27" s="298"/>
      <c r="AB27" s="744">
        <f t="shared" si="11"/>
        <v>0.12787972248230861</v>
      </c>
      <c r="AC27" s="298"/>
      <c r="AD27" s="433"/>
      <c r="AE27" s="427"/>
      <c r="AF27" s="744"/>
      <c r="AG27" s="427"/>
      <c r="AH27" s="592"/>
      <c r="AI27" s="428"/>
      <c r="AJ27" s="298"/>
      <c r="AK27" s="298"/>
      <c r="AL27" s="298"/>
      <c r="AM27" s="298"/>
      <c r="AN27" s="298"/>
      <c r="AO27" s="298"/>
      <c r="AP27" s="429">
        <f t="shared" si="16"/>
        <v>405400</v>
      </c>
      <c r="AQ27" s="430">
        <f t="shared" si="17"/>
        <v>3909924.0309125008</v>
      </c>
      <c r="AR27" s="298">
        <f>AR26*40000</f>
        <v>17626.429428071489</v>
      </c>
      <c r="AT27" s="431">
        <v>405400</v>
      </c>
      <c r="AU27" s="432"/>
      <c r="AV27" s="432"/>
      <c r="AW27" s="308"/>
    </row>
    <row r="28" spans="1:49" s="414" customFormat="1" ht="24" customHeight="1" x14ac:dyDescent="0.3">
      <c r="A28" s="413">
        <f>L28/$A$1</f>
        <v>155527.31848298371</v>
      </c>
      <c r="C28" s="1074" t="s">
        <v>1101</v>
      </c>
      <c r="D28" s="1075"/>
      <c r="E28" s="1075"/>
      <c r="F28" s="1075"/>
      <c r="G28" s="1075"/>
      <c r="H28" s="1076"/>
      <c r="I28" s="415">
        <f>SUM(I19:I27)</f>
        <v>1700000</v>
      </c>
      <c r="J28" s="417">
        <f>SUM(J19:J27)</f>
        <v>176264.29428071488</v>
      </c>
      <c r="K28" s="416">
        <f t="shared" si="8"/>
        <v>0.10192222405499878</v>
      </c>
      <c r="L28" s="417">
        <f>SUM(L19:L27)</f>
        <v>1500000</v>
      </c>
      <c r="M28" s="514">
        <f t="shared" si="3"/>
        <v>155527.31848298371</v>
      </c>
      <c r="N28" s="418">
        <f>L28/$I28</f>
        <v>0.88235294117647056</v>
      </c>
      <c r="O28" s="415">
        <f>SUM(O19:O27)</f>
        <v>6300000</v>
      </c>
      <c r="P28" s="417">
        <f>SUM(P19:P27)</f>
        <v>653214.73762853164</v>
      </c>
      <c r="Q28" s="416">
        <f t="shared" si="9"/>
        <v>0.37771177149793667</v>
      </c>
      <c r="R28" s="417">
        <f>SUM(R19:R27)</f>
        <v>5558733.5</v>
      </c>
      <c r="S28" s="720">
        <f t="shared" si="13"/>
        <v>576356.6102776872</v>
      </c>
      <c r="T28" s="418">
        <f t="shared" si="7"/>
        <v>0.88233865079365081</v>
      </c>
      <c r="U28" s="417">
        <f>SUM(U19:U27)</f>
        <v>5730853</v>
      </c>
      <c r="V28" s="417">
        <f>SUM(V19:V27)</f>
        <v>594202.79980677506</v>
      </c>
      <c r="W28" s="416">
        <f t="shared" si="10"/>
        <v>0.3435889902895658</v>
      </c>
      <c r="X28" s="417">
        <f t="shared" ref="X28:Y28" si="19">SUM(X19:X27)</f>
        <v>4499130.2207359839</v>
      </c>
      <c r="Y28" s="707">
        <f t="shared" si="19"/>
        <v>466491.7724912148</v>
      </c>
      <c r="Z28" s="419"/>
      <c r="AA28" s="420"/>
      <c r="AB28" s="416">
        <f t="shared" si="11"/>
        <v>0.8232229858425012</v>
      </c>
      <c r="AC28" s="420"/>
      <c r="AD28" s="417"/>
      <c r="AE28" s="417"/>
      <c r="AF28" s="416"/>
      <c r="AG28" s="417"/>
      <c r="AH28" s="707"/>
      <c r="AI28" s="419"/>
      <c r="AJ28" s="420"/>
      <c r="AK28" s="420"/>
      <c r="AL28" s="420"/>
      <c r="AM28" s="420"/>
      <c r="AN28" s="420"/>
      <c r="AO28" s="420"/>
      <c r="AP28" s="421">
        <f>SUM(AP19:AP27)</f>
        <v>1729400</v>
      </c>
      <c r="AQ28" s="422">
        <f>SUM(AQ19:AQ27)</f>
        <v>16679384.852146223</v>
      </c>
      <c r="AT28" s="417">
        <f>SUM(AT19:AT27)</f>
        <v>1729400</v>
      </c>
      <c r="AU28" s="423"/>
      <c r="AV28" s="423"/>
    </row>
    <row r="29" spans="1:49" ht="23.25" customHeight="1" x14ac:dyDescent="0.35">
      <c r="C29" s="1136" t="s">
        <v>1102</v>
      </c>
      <c r="D29" s="1138" t="s">
        <v>862</v>
      </c>
      <c r="E29" s="1127" t="s">
        <v>1258</v>
      </c>
      <c r="F29" s="1137" t="s">
        <v>1103</v>
      </c>
      <c r="G29" s="439"/>
      <c r="H29" s="440" t="s">
        <v>1104</v>
      </c>
      <c r="I29" s="860"/>
      <c r="J29" s="570">
        <f t="shared" si="2"/>
        <v>0</v>
      </c>
      <c r="K29" s="405"/>
      <c r="L29" s="442"/>
      <c r="M29" s="442"/>
      <c r="N29" s="392" t="s">
        <v>702</v>
      </c>
      <c r="O29" s="441"/>
      <c r="P29" s="570">
        <f t="shared" si="4"/>
        <v>0</v>
      </c>
      <c r="Q29" s="401" t="s">
        <v>702</v>
      </c>
      <c r="R29" s="442"/>
      <c r="S29" s="709"/>
      <c r="T29" s="407" t="s">
        <v>702</v>
      </c>
      <c r="U29" s="577">
        <f>'[7]PTBA 16-17-18'!X29</f>
        <v>0</v>
      </c>
      <c r="V29" s="570">
        <f t="shared" ref="V29" si="20">U29/$A$1</f>
        <v>0</v>
      </c>
      <c r="W29" s="744" t="s">
        <v>702</v>
      </c>
      <c r="X29" s="442">
        <f>'[7]PTBA 16-17-18'!Z29</f>
        <v>0</v>
      </c>
      <c r="Y29" s="709">
        <f>'[7]PTBA 16-17-18'!AA29</f>
        <v>0</v>
      </c>
      <c r="Z29" s="443"/>
      <c r="AA29" s="298"/>
      <c r="AB29" s="391" t="s">
        <v>702</v>
      </c>
      <c r="AC29" s="298"/>
      <c r="AD29" s="577"/>
      <c r="AE29" s="570"/>
      <c r="AF29" s="744"/>
      <c r="AG29" s="442"/>
      <c r="AH29" s="709"/>
      <c r="AI29" s="443"/>
      <c r="AJ29" s="298"/>
      <c r="AK29" s="298"/>
      <c r="AL29" s="298"/>
      <c r="AM29" s="298"/>
      <c r="AN29" s="298"/>
      <c r="AO29" s="298"/>
      <c r="AP29" s="444" t="str">
        <f t="shared" si="16"/>
        <v>pm</v>
      </c>
      <c r="AQ29" s="445" t="s">
        <v>702</v>
      </c>
      <c r="AR29">
        <f>11*200*(1+50%)</f>
        <v>3300</v>
      </c>
      <c r="AT29" s="446" t="s">
        <v>1067</v>
      </c>
      <c r="AU29" s="447"/>
      <c r="AV29" s="447"/>
    </row>
    <row r="30" spans="1:49" ht="23" x14ac:dyDescent="0.35">
      <c r="C30" s="1136"/>
      <c r="D30" s="1138"/>
      <c r="E30" s="1127"/>
      <c r="F30" s="1137"/>
      <c r="G30" s="439"/>
      <c r="H30" s="440" t="s">
        <v>1105</v>
      </c>
      <c r="I30" s="859"/>
      <c r="J30" s="570">
        <f t="shared" si="2"/>
        <v>0</v>
      </c>
      <c r="K30" s="405"/>
      <c r="L30" s="449"/>
      <c r="M30" s="449"/>
      <c r="N30" s="392" t="s">
        <v>702</v>
      </c>
      <c r="O30" s="448">
        <v>500000</v>
      </c>
      <c r="P30" s="570">
        <f t="shared" si="4"/>
        <v>51842.439494327904</v>
      </c>
      <c r="Q30" s="401">
        <f>O30/$AQ30</f>
        <v>0.17280813164775968</v>
      </c>
      <c r="R30" s="726">
        <f>O30</f>
        <v>500000</v>
      </c>
      <c r="S30" s="726">
        <f>R30/$A$1</f>
        <v>51842.439494327904</v>
      </c>
      <c r="T30" s="390">
        <f t="shared" ref="T30" si="21">R30/O30</f>
        <v>1</v>
      </c>
      <c r="U30" s="577">
        <f>'[7]PTBA 16-17-18'!X30</f>
        <v>5500000</v>
      </c>
      <c r="V30" s="570">
        <f t="shared" ref="V30:V38" si="22">U30/$A$1</f>
        <v>570266.83443760697</v>
      </c>
      <c r="W30" s="744">
        <f>U30/$AQ30</f>
        <v>1.9008894481253564</v>
      </c>
      <c r="X30" s="442">
        <f>'[7]PTBA 16-17-18'!Z30</f>
        <v>5813600</v>
      </c>
      <c r="Y30" s="709">
        <f>'[7]PTBA 16-17-18'!AA30</f>
        <v>602782.41248844936</v>
      </c>
      <c r="Z30" s="450"/>
      <c r="AA30" s="298"/>
      <c r="AB30" s="391">
        <f>(I30+O30+U30)/AQ30</f>
        <v>2.0736975797731163</v>
      </c>
      <c r="AC30" s="298"/>
      <c r="AD30" s="577"/>
      <c r="AE30" s="570"/>
      <c r="AF30" s="744"/>
      <c r="AG30" s="442"/>
      <c r="AH30" s="709"/>
      <c r="AI30" s="450"/>
      <c r="AJ30" s="298"/>
      <c r="AK30" s="298"/>
      <c r="AL30" s="298"/>
      <c r="AM30" s="298"/>
      <c r="AN30" s="298"/>
      <c r="AO30" s="298"/>
      <c r="AP30" s="451">
        <f t="shared" si="16"/>
        <v>300000</v>
      </c>
      <c r="AQ30" s="452">
        <f>$A$1*AT30</f>
        <v>2893382.3613067348</v>
      </c>
      <c r="AT30" s="446">
        <v>300000</v>
      </c>
      <c r="AU30" s="447"/>
      <c r="AV30" s="447"/>
    </row>
    <row r="31" spans="1:49" ht="25.5" customHeight="1" x14ac:dyDescent="0.35">
      <c r="C31" s="1136"/>
      <c r="D31" s="1138"/>
      <c r="E31" s="1127"/>
      <c r="F31" s="1137"/>
      <c r="G31" s="439"/>
      <c r="H31" s="440" t="s">
        <v>1106</v>
      </c>
      <c r="I31" s="860"/>
      <c r="J31" s="570">
        <f t="shared" si="2"/>
        <v>0</v>
      </c>
      <c r="K31" s="405"/>
      <c r="L31" s="442"/>
      <c r="M31" s="442"/>
      <c r="N31" s="392" t="s">
        <v>702</v>
      </c>
      <c r="O31" s="441"/>
      <c r="P31" s="570">
        <f t="shared" si="4"/>
        <v>0</v>
      </c>
      <c r="Q31" s="401" t="s">
        <v>702</v>
      </c>
      <c r="R31" s="442"/>
      <c r="S31" s="709"/>
      <c r="T31" s="407" t="s">
        <v>702</v>
      </c>
      <c r="U31" s="577">
        <f>'[7]PTBA 16-17-18'!X31</f>
        <v>0</v>
      </c>
      <c r="V31" s="570">
        <f t="shared" si="22"/>
        <v>0</v>
      </c>
      <c r="W31" s="391" t="s">
        <v>702</v>
      </c>
      <c r="X31" s="442">
        <f>'[7]PTBA 16-17-18'!Z31</f>
        <v>0</v>
      </c>
      <c r="Y31" s="709">
        <f>'[7]PTBA 16-17-18'!AA31</f>
        <v>0</v>
      </c>
      <c r="Z31" s="443"/>
      <c r="AA31" s="298"/>
      <c r="AB31" s="391" t="s">
        <v>702</v>
      </c>
      <c r="AC31" s="298"/>
      <c r="AD31" s="577"/>
      <c r="AE31" s="570"/>
      <c r="AF31" s="744"/>
      <c r="AG31" s="442"/>
      <c r="AH31" s="709"/>
      <c r="AI31" s="443"/>
      <c r="AJ31" s="298"/>
      <c r="AK31" s="298"/>
      <c r="AL31" s="298"/>
      <c r="AM31" s="298"/>
      <c r="AN31" s="298"/>
      <c r="AO31" s="298"/>
      <c r="AP31" s="444" t="str">
        <f t="shared" si="16"/>
        <v>pm</v>
      </c>
      <c r="AQ31" s="445" t="s">
        <v>702</v>
      </c>
      <c r="AT31" s="446" t="s">
        <v>1067</v>
      </c>
      <c r="AU31" s="447"/>
      <c r="AV31" s="447"/>
    </row>
    <row r="32" spans="1:49" ht="18" customHeight="1" x14ac:dyDescent="0.35">
      <c r="C32" s="1136"/>
      <c r="D32" s="1138"/>
      <c r="E32" s="1127"/>
      <c r="F32" s="1137" t="s">
        <v>1107</v>
      </c>
      <c r="G32" s="439"/>
      <c r="H32" s="440" t="s">
        <v>1108</v>
      </c>
      <c r="I32" s="859"/>
      <c r="J32" s="570">
        <f t="shared" si="2"/>
        <v>0</v>
      </c>
      <c r="K32" s="405"/>
      <c r="L32" s="449"/>
      <c r="M32" s="449"/>
      <c r="N32" s="392" t="s">
        <v>702</v>
      </c>
      <c r="O32" s="448">
        <v>190000</v>
      </c>
      <c r="P32" s="570">
        <f t="shared" si="4"/>
        <v>19700.127007844603</v>
      </c>
      <c r="Q32" s="401">
        <f>O32/$AQ32</f>
        <v>0.98500635039223017</v>
      </c>
      <c r="R32" s="449">
        <f>123240*(1+1%)</f>
        <v>124472.4</v>
      </c>
      <c r="S32" s="593">
        <f>R32/$A$1</f>
        <v>12905.905731427561</v>
      </c>
      <c r="T32" s="390">
        <f t="shared" ref="T32:T34" si="23">R32/O32</f>
        <v>0.65511789473684212</v>
      </c>
      <c r="U32" s="577">
        <f>'[7]PTBA 16-17-18'!X32</f>
        <v>0</v>
      </c>
      <c r="V32" s="570">
        <f t="shared" si="22"/>
        <v>0</v>
      </c>
      <c r="W32" s="391">
        <f>U32/$AQ32</f>
        <v>0</v>
      </c>
      <c r="X32" s="442">
        <f>'[7]PTBA 16-17-18'!Z32</f>
        <v>0</v>
      </c>
      <c r="Y32" s="709">
        <f>'[7]PTBA 16-17-18'!AA32</f>
        <v>0</v>
      </c>
      <c r="Z32" s="450"/>
      <c r="AA32" s="298"/>
      <c r="AB32" s="391">
        <f>(I32+O32+U32)/AQ32</f>
        <v>0.98500635039223017</v>
      </c>
      <c r="AC32" s="298"/>
      <c r="AD32" s="577"/>
      <c r="AE32" s="570"/>
      <c r="AF32" s="744"/>
      <c r="AG32" s="442"/>
      <c r="AH32" s="709"/>
      <c r="AI32" s="450"/>
      <c r="AJ32" s="298"/>
      <c r="AK32" s="298"/>
      <c r="AL32" s="298"/>
      <c r="AM32" s="298"/>
      <c r="AN32" s="298"/>
      <c r="AO32" s="298"/>
      <c r="AP32" s="451">
        <f t="shared" si="16"/>
        <v>20000</v>
      </c>
      <c r="AQ32" s="452">
        <f>$A$1*AT32</f>
        <v>192892.15742044899</v>
      </c>
      <c r="AT32" s="446">
        <v>20000</v>
      </c>
      <c r="AU32" s="447"/>
      <c r="AV32" s="447"/>
    </row>
    <row r="33" spans="3:48" x14ac:dyDescent="0.35">
      <c r="C33" s="1136"/>
      <c r="D33" s="1138"/>
      <c r="E33" s="1127"/>
      <c r="F33" s="1137"/>
      <c r="G33" s="439"/>
      <c r="H33" s="440" t="s">
        <v>1109</v>
      </c>
      <c r="I33" s="859"/>
      <c r="J33" s="570">
        <f t="shared" si="2"/>
        <v>0</v>
      </c>
      <c r="K33" s="405"/>
      <c r="L33" s="449"/>
      <c r="M33" s="449"/>
      <c r="N33" s="392" t="s">
        <v>702</v>
      </c>
      <c r="O33" s="448">
        <v>1000000</v>
      </c>
      <c r="P33" s="570">
        <f t="shared" si="4"/>
        <v>103684.87898865581</v>
      </c>
      <c r="Q33" s="401">
        <f>O33/$AQ33</f>
        <v>0.51842439494327908</v>
      </c>
      <c r="R33" s="449">
        <f>897120*(1+1%)</f>
        <v>906091.2</v>
      </c>
      <c r="S33" s="593">
        <f>R33/$A$1</f>
        <v>93947.956424685923</v>
      </c>
      <c r="T33" s="390">
        <f t="shared" si="23"/>
        <v>0.90609119999999999</v>
      </c>
      <c r="U33" s="577">
        <f>'[7]PTBA 16-17-18'!X33</f>
        <v>0</v>
      </c>
      <c r="V33" s="570">
        <f t="shared" si="22"/>
        <v>0</v>
      </c>
      <c r="W33" s="391">
        <f>U33/$AQ33</f>
        <v>0</v>
      </c>
      <c r="X33" s="442">
        <f>'[7]PTBA 16-17-18'!Z33</f>
        <v>0</v>
      </c>
      <c r="Y33" s="709">
        <f>'[7]PTBA 16-17-18'!AA33</f>
        <v>0</v>
      </c>
      <c r="Z33" s="450"/>
      <c r="AA33" s="298"/>
      <c r="AB33" s="391">
        <f>(I33+O33+U33)/AQ33</f>
        <v>0.51842439494327908</v>
      </c>
      <c r="AC33" s="298"/>
      <c r="AD33" s="577"/>
      <c r="AE33" s="570"/>
      <c r="AF33" s="744"/>
      <c r="AG33" s="442"/>
      <c r="AH33" s="709"/>
      <c r="AI33" s="450"/>
      <c r="AJ33" s="298"/>
      <c r="AK33" s="298"/>
      <c r="AL33" s="298"/>
      <c r="AM33" s="298"/>
      <c r="AN33" s="298"/>
      <c r="AO33" s="298"/>
      <c r="AP33" s="451">
        <f t="shared" si="16"/>
        <v>200000</v>
      </c>
      <c r="AQ33" s="452">
        <f>$A$1*AT33</f>
        <v>1928921.5742044898</v>
      </c>
      <c r="AT33" s="446">
        <v>200000</v>
      </c>
      <c r="AU33" s="447"/>
      <c r="AV33" s="447"/>
    </row>
    <row r="34" spans="3:48" ht="23" x14ac:dyDescent="0.35">
      <c r="C34" s="1136"/>
      <c r="D34" s="1138"/>
      <c r="E34" s="1127"/>
      <c r="F34" s="1137"/>
      <c r="G34" s="439"/>
      <c r="H34" s="440" t="s">
        <v>1110</v>
      </c>
      <c r="I34" s="859"/>
      <c r="J34" s="570">
        <f t="shared" si="2"/>
        <v>0</v>
      </c>
      <c r="K34" s="405"/>
      <c r="L34" s="449"/>
      <c r="M34" s="449"/>
      <c r="N34" s="392" t="s">
        <v>702</v>
      </c>
      <c r="O34" s="448">
        <v>200000</v>
      </c>
      <c r="P34" s="570">
        <f t="shared" si="4"/>
        <v>20736.97579773116</v>
      </c>
      <c r="Q34" s="401">
        <f>O34/$AQ34</f>
        <v>0.25921219747163954</v>
      </c>
      <c r="R34" s="593">
        <f>O34</f>
        <v>200000</v>
      </c>
      <c r="S34" s="593">
        <f>R34/$A$1</f>
        <v>20736.97579773116</v>
      </c>
      <c r="T34" s="390">
        <f t="shared" si="23"/>
        <v>1</v>
      </c>
      <c r="U34" s="577">
        <f>'[7]PTBA 16-17-18'!X34</f>
        <v>1071200</v>
      </c>
      <c r="V34" s="570">
        <f t="shared" si="22"/>
        <v>111067.24237264811</v>
      </c>
      <c r="W34" s="391">
        <f>U34/$AQ34</f>
        <v>1.3883405296581013</v>
      </c>
      <c r="X34" s="442">
        <f>'[7]PTBA 16-17-18'!Z34</f>
        <v>989969.77926401619</v>
      </c>
      <c r="Y34" s="709">
        <f>'[7]PTBA 16-17-18'!AA34</f>
        <v>102644.89676541582</v>
      </c>
      <c r="Z34" s="450"/>
      <c r="AA34" s="298"/>
      <c r="AB34" s="391">
        <f>(I34+O34+U34)/AQ34</f>
        <v>1.6475527271297408</v>
      </c>
      <c r="AC34" s="298"/>
      <c r="AD34" s="577"/>
      <c r="AE34" s="570"/>
      <c r="AF34" s="744"/>
      <c r="AG34" s="442"/>
      <c r="AH34" s="709"/>
      <c r="AI34" s="450"/>
      <c r="AJ34" s="298"/>
      <c r="AK34" s="298"/>
      <c r="AL34" s="298"/>
      <c r="AM34" s="298"/>
      <c r="AN34" s="298"/>
      <c r="AO34" s="298"/>
      <c r="AP34" s="451">
        <f t="shared" si="16"/>
        <v>80000</v>
      </c>
      <c r="AQ34" s="452">
        <f>$A$1*AT34</f>
        <v>771568.62968179595</v>
      </c>
      <c r="AT34" s="446">
        <v>80000</v>
      </c>
      <c r="AU34" s="447"/>
      <c r="AV34" s="447"/>
    </row>
    <row r="35" spans="3:48" ht="24.75" customHeight="1" x14ac:dyDescent="0.35">
      <c r="C35" s="1136"/>
      <c r="D35" s="1138"/>
      <c r="E35" s="1133" t="s">
        <v>1259</v>
      </c>
      <c r="F35" s="1137" t="s">
        <v>1111</v>
      </c>
      <c r="G35" s="439"/>
      <c r="H35" s="440" t="s">
        <v>1112</v>
      </c>
      <c r="I35" s="860"/>
      <c r="J35" s="570">
        <f t="shared" si="2"/>
        <v>0</v>
      </c>
      <c r="K35" s="405"/>
      <c r="L35" s="442"/>
      <c r="M35" s="442"/>
      <c r="N35" s="392" t="s">
        <v>702</v>
      </c>
      <c r="O35" s="441"/>
      <c r="P35" s="570">
        <f t="shared" si="4"/>
        <v>0</v>
      </c>
      <c r="Q35" s="401"/>
      <c r="R35" s="442"/>
      <c r="S35" s="709"/>
      <c r="T35" s="407" t="s">
        <v>702</v>
      </c>
      <c r="U35" s="577">
        <f>'[7]PTBA 16-17-18'!X35</f>
        <v>0</v>
      </c>
      <c r="V35" s="570">
        <f t="shared" si="22"/>
        <v>0</v>
      </c>
      <c r="W35" s="391"/>
      <c r="X35" s="442">
        <f>'[7]PTBA 16-17-18'!Z35</f>
        <v>0</v>
      </c>
      <c r="Y35" s="709">
        <f>'[7]PTBA 16-17-18'!AA35</f>
        <v>0</v>
      </c>
      <c r="Z35" s="443"/>
      <c r="AA35" s="298"/>
      <c r="AB35" s="401" t="s">
        <v>702</v>
      </c>
      <c r="AC35" s="298"/>
      <c r="AD35" s="577"/>
      <c r="AE35" s="570"/>
      <c r="AF35" s="744"/>
      <c r="AG35" s="442"/>
      <c r="AH35" s="709"/>
      <c r="AI35" s="443"/>
      <c r="AJ35" s="298"/>
      <c r="AK35" s="298"/>
      <c r="AL35" s="298"/>
      <c r="AM35" s="298"/>
      <c r="AN35" s="298"/>
      <c r="AO35" s="298"/>
      <c r="AP35" s="444" t="str">
        <f t="shared" si="16"/>
        <v>pm</v>
      </c>
      <c r="AQ35" s="445" t="s">
        <v>702</v>
      </c>
      <c r="AT35" s="446" t="s">
        <v>1067</v>
      </c>
      <c r="AU35" s="447"/>
      <c r="AV35" s="447"/>
    </row>
    <row r="36" spans="3:48" ht="21.75" customHeight="1" x14ac:dyDescent="0.35">
      <c r="C36" s="1136"/>
      <c r="D36" s="1138"/>
      <c r="E36" s="1134"/>
      <c r="F36" s="1137"/>
      <c r="G36" s="439"/>
      <c r="H36" s="440" t="s">
        <v>1113</v>
      </c>
      <c r="I36" s="859"/>
      <c r="J36" s="570">
        <f t="shared" si="2"/>
        <v>0</v>
      </c>
      <c r="K36" s="405"/>
      <c r="L36" s="449"/>
      <c r="M36" s="449"/>
      <c r="N36" s="392" t="s">
        <v>702</v>
      </c>
      <c r="O36" s="448"/>
      <c r="P36" s="570">
        <f t="shared" si="4"/>
        <v>0</v>
      </c>
      <c r="Q36" s="401"/>
      <c r="R36" s="449"/>
      <c r="S36" s="593"/>
      <c r="T36" s="407" t="s">
        <v>702</v>
      </c>
      <c r="U36" s="577">
        <f>'[7]PTBA 16-17-18'!X36</f>
        <v>0</v>
      </c>
      <c r="V36" s="570">
        <f t="shared" si="22"/>
        <v>0</v>
      </c>
      <c r="W36" s="391"/>
      <c r="X36" s="442">
        <f>'[7]PTBA 16-17-18'!Z36</f>
        <v>0</v>
      </c>
      <c r="Y36" s="709">
        <f>'[7]PTBA 16-17-18'!AA36</f>
        <v>0</v>
      </c>
      <c r="Z36" s="450"/>
      <c r="AA36" s="298"/>
      <c r="AB36" s="434">
        <f>(I36+O36+U36)/AQ36</f>
        <v>0</v>
      </c>
      <c r="AC36" s="298"/>
      <c r="AD36" s="577"/>
      <c r="AE36" s="570"/>
      <c r="AF36" s="744"/>
      <c r="AG36" s="442"/>
      <c r="AH36" s="709"/>
      <c r="AI36" s="450"/>
      <c r="AJ36" s="298"/>
      <c r="AK36" s="298"/>
      <c r="AL36" s="298"/>
      <c r="AM36" s="298"/>
      <c r="AN36" s="298"/>
      <c r="AO36" s="298"/>
      <c r="AP36" s="451">
        <f t="shared" si="16"/>
        <v>360000</v>
      </c>
      <c r="AQ36" s="453">
        <f>$A$1*AT36</f>
        <v>3472058.8335680817</v>
      </c>
      <c r="AT36" s="446">
        <v>360000</v>
      </c>
      <c r="AU36" s="447"/>
      <c r="AV36" s="447"/>
    </row>
    <row r="37" spans="3:48" ht="27" customHeight="1" x14ac:dyDescent="0.35">
      <c r="C37" s="1136"/>
      <c r="D37" s="1138"/>
      <c r="E37" s="1134"/>
      <c r="F37" s="1137" t="s">
        <v>1114</v>
      </c>
      <c r="G37" s="439"/>
      <c r="H37" s="440" t="s">
        <v>1115</v>
      </c>
      <c r="I37" s="860"/>
      <c r="J37" s="570">
        <f t="shared" si="2"/>
        <v>0</v>
      </c>
      <c r="K37" s="405"/>
      <c r="L37" s="442"/>
      <c r="M37" s="442"/>
      <c r="N37" s="392" t="s">
        <v>702</v>
      </c>
      <c r="O37" s="441"/>
      <c r="P37" s="570">
        <f t="shared" si="4"/>
        <v>0</v>
      </c>
      <c r="Q37" s="401"/>
      <c r="R37" s="442"/>
      <c r="S37" s="709"/>
      <c r="T37" s="407" t="s">
        <v>702</v>
      </c>
      <c r="U37" s="577">
        <f>'[7]PTBA 16-17-18'!X37</f>
        <v>0</v>
      </c>
      <c r="V37" s="570">
        <f t="shared" si="22"/>
        <v>0</v>
      </c>
      <c r="W37" s="391"/>
      <c r="X37" s="442">
        <f>'[7]PTBA 16-17-18'!Z37</f>
        <v>0</v>
      </c>
      <c r="Y37" s="709">
        <f>'[7]PTBA 16-17-18'!AA37</f>
        <v>0</v>
      </c>
      <c r="Z37" s="443"/>
      <c r="AA37" s="298"/>
      <c r="AB37" s="401" t="s">
        <v>702</v>
      </c>
      <c r="AC37" s="298"/>
      <c r="AD37" s="577"/>
      <c r="AE37" s="570"/>
      <c r="AF37" s="744"/>
      <c r="AG37" s="442"/>
      <c r="AH37" s="709"/>
      <c r="AI37" s="443"/>
      <c r="AJ37" s="298"/>
      <c r="AK37" s="298"/>
      <c r="AL37" s="298"/>
      <c r="AM37" s="298"/>
      <c r="AN37" s="298"/>
      <c r="AO37" s="298"/>
      <c r="AP37" s="444" t="str">
        <f t="shared" si="16"/>
        <v>pm</v>
      </c>
      <c r="AQ37" s="445" t="s">
        <v>702</v>
      </c>
      <c r="AT37" s="446" t="s">
        <v>1067</v>
      </c>
      <c r="AU37" s="447"/>
      <c r="AV37" s="447"/>
    </row>
    <row r="38" spans="3:48" ht="20.25" customHeight="1" x14ac:dyDescent="0.35">
      <c r="C38" s="1136"/>
      <c r="D38" s="1138"/>
      <c r="E38" s="1134"/>
      <c r="F38" s="1137"/>
      <c r="G38" s="439"/>
      <c r="H38" s="440" t="s">
        <v>1116</v>
      </c>
      <c r="I38" s="859"/>
      <c r="J38" s="570">
        <f t="shared" si="2"/>
        <v>0</v>
      </c>
      <c r="K38" s="405"/>
      <c r="L38" s="449"/>
      <c r="M38" s="449"/>
      <c r="N38" s="392" t="s">
        <v>702</v>
      </c>
      <c r="O38" s="448"/>
      <c r="P38" s="570">
        <f t="shared" si="4"/>
        <v>0</v>
      </c>
      <c r="Q38" s="401"/>
      <c r="R38" s="449"/>
      <c r="S38" s="593">
        <f t="shared" ref="S38:S48" si="24">R38/$A$1</f>
        <v>0</v>
      </c>
      <c r="T38" s="407" t="s">
        <v>702</v>
      </c>
      <c r="U38" s="577">
        <f>'[7]PTBA 16-17-18'!X38</f>
        <v>0</v>
      </c>
      <c r="V38" s="570">
        <f t="shared" si="22"/>
        <v>0</v>
      </c>
      <c r="W38" s="391"/>
      <c r="X38" s="442">
        <f>'[7]PTBA 16-17-18'!Z38</f>
        <v>0</v>
      </c>
      <c r="Y38" s="709">
        <f>'[7]PTBA 16-17-18'!AA38</f>
        <v>0</v>
      </c>
      <c r="Z38" s="450"/>
      <c r="AA38" s="298"/>
      <c r="AB38" s="434">
        <f>(I38+O38+U38)/AQ38</f>
        <v>0</v>
      </c>
      <c r="AC38" s="298"/>
      <c r="AD38" s="577"/>
      <c r="AE38" s="570"/>
      <c r="AF38" s="744"/>
      <c r="AG38" s="442"/>
      <c r="AH38" s="709"/>
      <c r="AI38" s="450"/>
      <c r="AJ38" s="298"/>
      <c r="AK38" s="298"/>
      <c r="AL38" s="298"/>
      <c r="AM38" s="298"/>
      <c r="AN38" s="298"/>
      <c r="AO38" s="298"/>
      <c r="AP38" s="451">
        <f t="shared" si="16"/>
        <v>50600</v>
      </c>
      <c r="AQ38" s="452">
        <f>$A$1*AT38</f>
        <v>488017.15827373596</v>
      </c>
      <c r="AT38" s="446">
        <v>50600</v>
      </c>
      <c r="AU38" s="447"/>
      <c r="AV38" s="447"/>
    </row>
    <row r="39" spans="3:48" ht="31.5" customHeight="1" x14ac:dyDescent="0.35">
      <c r="C39" s="857"/>
      <c r="D39" s="1138"/>
      <c r="E39" s="1134"/>
      <c r="F39" s="1068" t="s">
        <v>1263</v>
      </c>
      <c r="G39" s="742"/>
      <c r="H39" s="440" t="s">
        <v>1264</v>
      </c>
      <c r="I39" s="859"/>
      <c r="J39" s="570"/>
      <c r="K39" s="405"/>
      <c r="L39" s="449"/>
      <c r="M39" s="449"/>
      <c r="N39" s="392"/>
      <c r="O39" s="448"/>
      <c r="P39" s="570"/>
      <c r="Q39" s="401"/>
      <c r="R39" s="449"/>
      <c r="S39" s="593"/>
      <c r="T39" s="407"/>
      <c r="U39" s="858"/>
      <c r="V39" s="570"/>
      <c r="W39" s="744"/>
      <c r="X39" s="442"/>
      <c r="Y39" s="709"/>
      <c r="Z39" s="450"/>
      <c r="AA39" s="298"/>
      <c r="AB39" s="434"/>
      <c r="AC39" s="298"/>
      <c r="AD39" s="577">
        <f>'[8]Suivi des réalisations'!X45</f>
        <v>4494593.4503530413</v>
      </c>
      <c r="AE39" s="570">
        <f t="shared" ref="AE39:AE42" si="25">AD39/$A$1</f>
        <v>466021.37800306006</v>
      </c>
      <c r="AF39" s="744"/>
      <c r="AG39" s="442"/>
      <c r="AH39" s="709"/>
      <c r="AI39" s="450"/>
      <c r="AJ39" s="298"/>
      <c r="AK39" s="298"/>
      <c r="AL39" s="298"/>
      <c r="AM39" s="298"/>
      <c r="AN39" s="298"/>
      <c r="AO39" s="298"/>
      <c r="AP39" s="451"/>
      <c r="AQ39" s="452"/>
      <c r="AT39" s="446"/>
      <c r="AU39" s="447"/>
      <c r="AV39" s="447"/>
    </row>
    <row r="40" spans="3:48" ht="34" customHeight="1" x14ac:dyDescent="0.35">
      <c r="C40" s="857"/>
      <c r="D40" s="1138"/>
      <c r="E40" s="1134"/>
      <c r="F40" s="1068"/>
      <c r="G40" s="742"/>
      <c r="H40" s="440" t="s">
        <v>1265</v>
      </c>
      <c r="I40" s="859"/>
      <c r="J40" s="570"/>
      <c r="K40" s="405"/>
      <c r="L40" s="449"/>
      <c r="M40" s="449"/>
      <c r="N40" s="392"/>
      <c r="O40" s="448"/>
      <c r="P40" s="570"/>
      <c r="Q40" s="401"/>
      <c r="R40" s="449"/>
      <c r="S40" s="593"/>
      <c r="T40" s="407"/>
      <c r="U40" s="858"/>
      <c r="V40" s="570"/>
      <c r="W40" s="744"/>
      <c r="X40" s="442"/>
      <c r="Y40" s="709"/>
      <c r="Z40" s="450"/>
      <c r="AA40" s="298"/>
      <c r="AB40" s="434"/>
      <c r="AC40" s="298"/>
      <c r="AD40" s="577">
        <f>'[8]Suivi des réalisations'!X46</f>
        <v>1000000</v>
      </c>
      <c r="AE40" s="570">
        <f t="shared" si="25"/>
        <v>103684.87898865581</v>
      </c>
      <c r="AF40" s="744"/>
      <c r="AG40" s="442"/>
      <c r="AH40" s="709"/>
      <c r="AI40" s="450"/>
      <c r="AJ40" s="298"/>
      <c r="AK40" s="298"/>
      <c r="AL40" s="298"/>
      <c r="AM40" s="298"/>
      <c r="AN40" s="298"/>
      <c r="AO40" s="298"/>
      <c r="AP40" s="451"/>
      <c r="AQ40" s="452"/>
      <c r="AT40" s="446"/>
      <c r="AU40" s="447"/>
      <c r="AV40" s="447"/>
    </row>
    <row r="41" spans="3:48" ht="26.5" customHeight="1" x14ac:dyDescent="0.35">
      <c r="C41" s="857"/>
      <c r="D41" s="1138"/>
      <c r="E41" s="1134"/>
      <c r="F41" s="1069" t="s">
        <v>1266</v>
      </c>
      <c r="G41" s="742"/>
      <c r="H41" s="440" t="s">
        <v>1267</v>
      </c>
      <c r="I41" s="859"/>
      <c r="J41" s="570"/>
      <c r="K41" s="405"/>
      <c r="L41" s="449"/>
      <c r="M41" s="449"/>
      <c r="N41" s="392"/>
      <c r="O41" s="448"/>
      <c r="P41" s="570"/>
      <c r="Q41" s="401"/>
      <c r="R41" s="449"/>
      <c r="S41" s="593"/>
      <c r="T41" s="407"/>
      <c r="U41" s="858"/>
      <c r="V41" s="570"/>
      <c r="W41" s="744"/>
      <c r="X41" s="442"/>
      <c r="Y41" s="709"/>
      <c r="Z41" s="450"/>
      <c r="AA41" s="298"/>
      <c r="AB41" s="434"/>
      <c r="AC41" s="298"/>
      <c r="AD41" s="577">
        <f>'[8]Suivi des réalisations'!X47</f>
        <v>650000</v>
      </c>
      <c r="AE41" s="570">
        <f t="shared" si="25"/>
        <v>67395.171342626272</v>
      </c>
      <c r="AF41" s="744"/>
      <c r="AG41" s="442"/>
      <c r="AH41" s="709"/>
      <c r="AI41" s="450"/>
      <c r="AJ41" s="298"/>
      <c r="AK41" s="298"/>
      <c r="AL41" s="298"/>
      <c r="AM41" s="298"/>
      <c r="AN41" s="298"/>
      <c r="AO41" s="298"/>
      <c r="AP41" s="451"/>
      <c r="AQ41" s="452"/>
      <c r="AT41" s="446"/>
      <c r="AU41" s="447"/>
      <c r="AV41" s="447"/>
    </row>
    <row r="42" spans="3:48" ht="42.65" customHeight="1" x14ac:dyDescent="0.35">
      <c r="C42" s="857"/>
      <c r="D42" s="1138"/>
      <c r="E42" s="1135"/>
      <c r="F42" s="1069"/>
      <c r="G42" s="742"/>
      <c r="H42" s="440" t="s">
        <v>1268</v>
      </c>
      <c r="I42" s="859"/>
      <c r="J42" s="570"/>
      <c r="K42" s="405"/>
      <c r="L42" s="449"/>
      <c r="M42" s="449"/>
      <c r="N42" s="392"/>
      <c r="O42" s="448"/>
      <c r="P42" s="570"/>
      <c r="Q42" s="401"/>
      <c r="R42" s="449"/>
      <c r="S42" s="593"/>
      <c r="T42" s="407"/>
      <c r="U42" s="858"/>
      <c r="V42" s="570"/>
      <c r="W42" s="744"/>
      <c r="X42" s="442"/>
      <c r="Y42" s="709"/>
      <c r="Z42" s="450"/>
      <c r="AA42" s="298"/>
      <c r="AB42" s="434"/>
      <c r="AC42" s="298"/>
      <c r="AD42" s="577">
        <f>'[8]Suivi des réalisations'!X48</f>
        <v>600000</v>
      </c>
      <c r="AE42" s="570">
        <f t="shared" si="25"/>
        <v>62210.927393193488</v>
      </c>
      <c r="AF42" s="744"/>
      <c r="AG42" s="442"/>
      <c r="AH42" s="709"/>
      <c r="AI42" s="450"/>
      <c r="AJ42" s="298"/>
      <c r="AK42" s="298"/>
      <c r="AL42" s="298"/>
      <c r="AM42" s="298"/>
      <c r="AN42" s="298"/>
      <c r="AO42" s="298"/>
      <c r="AP42" s="451"/>
      <c r="AQ42" s="452"/>
      <c r="AT42" s="446"/>
      <c r="AU42" s="447"/>
      <c r="AV42" s="447"/>
    </row>
    <row r="43" spans="3:48" s="414" customFormat="1" ht="22.5" customHeight="1" x14ac:dyDescent="0.3">
      <c r="C43" s="1074" t="s">
        <v>1117</v>
      </c>
      <c r="D43" s="1075"/>
      <c r="E43" s="1075"/>
      <c r="F43" s="1075"/>
      <c r="G43" s="1075"/>
      <c r="H43" s="1076"/>
      <c r="I43" s="861">
        <f>SUM(I29:I38)</f>
        <v>0</v>
      </c>
      <c r="J43" s="417">
        <f>SUM(J29:J38)</f>
        <v>0</v>
      </c>
      <c r="K43" s="454">
        <v>0</v>
      </c>
      <c r="L43" s="417">
        <f>SUM(L29:L38)</f>
        <v>0</v>
      </c>
      <c r="M43" s="417">
        <f t="shared" si="3"/>
        <v>0</v>
      </c>
      <c r="N43" s="455" t="s">
        <v>702</v>
      </c>
      <c r="O43" s="415">
        <f>SUM(O29:O38)</f>
        <v>1890000</v>
      </c>
      <c r="P43" s="417">
        <f>SUM(P29:P38)</f>
        <v>195964.42128855948</v>
      </c>
      <c r="Q43" s="416">
        <f t="shared" ref="Q43:Q49" si="26">O43/$AQ43</f>
        <v>0.19390898603657181</v>
      </c>
      <c r="R43" s="417">
        <f>SUM(R29:R38)</f>
        <v>1730563.6</v>
      </c>
      <c r="S43" s="720">
        <f t="shared" si="24"/>
        <v>179433.27744817256</v>
      </c>
      <c r="T43" s="418">
        <f t="shared" ref="T43:T44" si="27">R43/O43</f>
        <v>0.91564211640211646</v>
      </c>
      <c r="U43" s="417">
        <f>SUM(U29:U38)</f>
        <v>6571200</v>
      </c>
      <c r="V43" s="417">
        <f>SUM(V29:V38)</f>
        <v>681334.07681025506</v>
      </c>
      <c r="W43" s="416">
        <f>U43/$AQ43</f>
        <v>0.67418768732461409</v>
      </c>
      <c r="X43" s="417">
        <f>SUM(X29:X38)</f>
        <v>6803569.7792640161</v>
      </c>
      <c r="Y43" s="707">
        <f>SUM(Y29:Y38)</f>
        <v>705427.30925386515</v>
      </c>
      <c r="Z43" s="419"/>
      <c r="AA43" s="420"/>
      <c r="AB43" s="416">
        <f t="shared" ref="AB43:AB50" si="28">(I43+O43+U43)/AQ43</f>
        <v>0.8680966733611859</v>
      </c>
      <c r="AC43" s="420"/>
      <c r="AD43" s="417">
        <f>SUM(AD29:AD42)</f>
        <v>6744593.4503530413</v>
      </c>
      <c r="AE43" s="417">
        <f>SUM(AE29:AE42)</f>
        <v>699312.35572753556</v>
      </c>
      <c r="AF43" s="416"/>
      <c r="AG43" s="417"/>
      <c r="AH43" s="707"/>
      <c r="AI43" s="419"/>
      <c r="AJ43" s="420"/>
      <c r="AK43" s="420"/>
      <c r="AL43" s="420"/>
      <c r="AM43" s="420"/>
      <c r="AN43" s="420"/>
      <c r="AO43" s="420"/>
      <c r="AP43" s="421">
        <f>SUM(AP29:AP38)</f>
        <v>1010600</v>
      </c>
      <c r="AQ43" s="422">
        <f>SUM(AQ29:AQ38)</f>
        <v>9746840.7144552879</v>
      </c>
      <c r="AT43" s="417">
        <f>SUM(AT29:AT38)</f>
        <v>1010600</v>
      </c>
      <c r="AU43" s="423"/>
      <c r="AV43" s="423"/>
    </row>
    <row r="44" spans="3:48" ht="22.5" customHeight="1" x14ac:dyDescent="0.35">
      <c r="C44" s="1140" t="s">
        <v>1118</v>
      </c>
      <c r="D44" s="1141" t="s">
        <v>863</v>
      </c>
      <c r="E44" s="1128" t="s">
        <v>1260</v>
      </c>
      <c r="F44" s="1073" t="s">
        <v>1119</v>
      </c>
      <c r="G44" s="456"/>
      <c r="H44" s="457" t="s">
        <v>1120</v>
      </c>
      <c r="I44" s="458"/>
      <c r="J44" s="459">
        <f t="shared" si="2"/>
        <v>0</v>
      </c>
      <c r="K44" s="391"/>
      <c r="L44" s="459"/>
      <c r="M44" s="459">
        <f t="shared" si="3"/>
        <v>0</v>
      </c>
      <c r="N44" s="392" t="s">
        <v>702</v>
      </c>
      <c r="O44" s="458">
        <f>285000*0+535000</f>
        <v>535000</v>
      </c>
      <c r="P44" s="459">
        <f t="shared" si="4"/>
        <v>55471.41025893086</v>
      </c>
      <c r="Q44" s="391">
        <f t="shared" si="26"/>
        <v>1.8490470086310284</v>
      </c>
      <c r="R44" s="459">
        <f>402000*(1+1%)</f>
        <v>406020</v>
      </c>
      <c r="S44" s="709">
        <f t="shared" si="24"/>
        <v>42098.134566974033</v>
      </c>
      <c r="T44" s="390">
        <f t="shared" si="27"/>
        <v>0.75891588785046726</v>
      </c>
      <c r="U44" s="466">
        <f>'[7]PTBA 16-17-18'!X40</f>
        <v>443000</v>
      </c>
      <c r="V44" s="461">
        <f t="shared" ref="V44" si="29">U44/$A$1</f>
        <v>45932.401391974527</v>
      </c>
      <c r="W44" s="744">
        <f>U44/$AQ44</f>
        <v>1.5310800463991507</v>
      </c>
      <c r="X44" s="459">
        <f>'[7]PTBA 16-17-18'!Z40</f>
        <v>0</v>
      </c>
      <c r="Y44" s="709">
        <f>'[7]PTBA 16-17-18'!AA40</f>
        <v>0</v>
      </c>
      <c r="Z44" s="460"/>
      <c r="AA44" s="298"/>
      <c r="AB44" s="391">
        <f t="shared" si="28"/>
        <v>3.3801270550301794</v>
      </c>
      <c r="AC44" s="298"/>
      <c r="AD44" s="466"/>
      <c r="AE44" s="461"/>
      <c r="AF44" s="744"/>
      <c r="AG44" s="459"/>
      <c r="AH44" s="709"/>
      <c r="AI44" s="460"/>
      <c r="AJ44" s="298"/>
      <c r="AK44" s="298"/>
      <c r="AL44" s="298"/>
      <c r="AM44" s="298"/>
      <c r="AN44" s="298"/>
      <c r="AO44" s="298"/>
      <c r="AP44" s="461">
        <f t="shared" si="16"/>
        <v>30000</v>
      </c>
      <c r="AQ44" s="462">
        <f t="shared" ref="AQ44:AQ50" si="30">$A$1*AT44</f>
        <v>289338.2361306735</v>
      </c>
      <c r="AT44" s="463">
        <v>30000</v>
      </c>
      <c r="AU44" s="464"/>
      <c r="AV44" s="464"/>
    </row>
    <row r="45" spans="3:48" ht="24.75" customHeight="1" x14ac:dyDescent="0.35">
      <c r="C45" s="1140"/>
      <c r="D45" s="1142"/>
      <c r="E45" s="1128"/>
      <c r="F45" s="1073"/>
      <c r="G45" s="456"/>
      <c r="H45" s="457" t="s">
        <v>1121</v>
      </c>
      <c r="I45" s="465">
        <f>270000+130000</f>
        <v>400000</v>
      </c>
      <c r="J45" s="461">
        <f t="shared" si="2"/>
        <v>41473.95159546232</v>
      </c>
      <c r="K45" s="388">
        <f>I45/$AQ45</f>
        <v>1.3824650531820775</v>
      </c>
      <c r="L45" s="461">
        <f>270000+130000</f>
        <v>400000</v>
      </c>
      <c r="M45" s="461">
        <f t="shared" si="3"/>
        <v>41473.95159546232</v>
      </c>
      <c r="N45" s="390">
        <f>L45/$I45</f>
        <v>1</v>
      </c>
      <c r="O45" s="465"/>
      <c r="P45" s="461">
        <f t="shared" si="4"/>
        <v>0</v>
      </c>
      <c r="Q45" s="388">
        <f t="shared" si="26"/>
        <v>0</v>
      </c>
      <c r="R45" s="461"/>
      <c r="S45" s="710">
        <f t="shared" si="24"/>
        <v>0</v>
      </c>
      <c r="T45" s="407" t="s">
        <v>702</v>
      </c>
      <c r="U45" s="466">
        <f>'[7]PTBA 16-17-18'!X41</f>
        <v>0</v>
      </c>
      <c r="V45" s="461">
        <f t="shared" ref="V45:V52" si="31">U45/$A$1</f>
        <v>0</v>
      </c>
      <c r="W45" s="391">
        <f>U45/$AQ45</f>
        <v>0</v>
      </c>
      <c r="X45" s="459">
        <f>'[7]PTBA 16-17-18'!Z41</f>
        <v>0</v>
      </c>
      <c r="Y45" s="709">
        <f>'[7]PTBA 16-17-18'!AA41</f>
        <v>0</v>
      </c>
      <c r="Z45" s="460"/>
      <c r="AA45" s="298"/>
      <c r="AB45" s="391">
        <f t="shared" si="28"/>
        <v>1.3824650531820775</v>
      </c>
      <c r="AC45" s="298"/>
      <c r="AD45" s="466"/>
      <c r="AE45" s="461"/>
      <c r="AF45" s="744"/>
      <c r="AG45" s="459"/>
      <c r="AH45" s="709"/>
      <c r="AI45" s="460"/>
      <c r="AJ45" s="298"/>
      <c r="AK45" s="298"/>
      <c r="AL45" s="298"/>
      <c r="AM45" s="298"/>
      <c r="AN45" s="298"/>
      <c r="AO45" s="298"/>
      <c r="AP45" s="461">
        <f t="shared" si="16"/>
        <v>30000</v>
      </c>
      <c r="AQ45" s="462">
        <f t="shared" si="30"/>
        <v>289338.2361306735</v>
      </c>
      <c r="AT45" s="463">
        <v>30000</v>
      </c>
      <c r="AU45" s="464"/>
      <c r="AV45" s="464"/>
    </row>
    <row r="46" spans="3:48" ht="26.25" customHeight="1" x14ac:dyDescent="0.35">
      <c r="C46" s="1140"/>
      <c r="D46" s="1142"/>
      <c r="E46" s="1128"/>
      <c r="F46" s="1073" t="s">
        <v>1122</v>
      </c>
      <c r="G46" s="456"/>
      <c r="H46" s="457" t="s">
        <v>1123</v>
      </c>
      <c r="I46" s="465"/>
      <c r="J46" s="461">
        <f t="shared" si="2"/>
        <v>0</v>
      </c>
      <c r="K46" s="388"/>
      <c r="L46" s="461"/>
      <c r="M46" s="461">
        <f t="shared" si="3"/>
        <v>0</v>
      </c>
      <c r="N46" s="392" t="s">
        <v>702</v>
      </c>
      <c r="O46" s="465">
        <v>285000</v>
      </c>
      <c r="P46" s="461">
        <f t="shared" si="4"/>
        <v>29550.190511766905</v>
      </c>
      <c r="Q46" s="388">
        <f t="shared" si="26"/>
        <v>0.98500635039223017</v>
      </c>
      <c r="R46" s="461">
        <f>216000*(1+1%)</f>
        <v>218160</v>
      </c>
      <c r="S46" s="710">
        <f t="shared" si="24"/>
        <v>22619.893200165152</v>
      </c>
      <c r="T46" s="390">
        <f t="shared" ref="T46:T54" si="32">R46/O46</f>
        <v>0.76547368421052631</v>
      </c>
      <c r="U46" s="466">
        <f>'[7]PTBA 16-17-18'!X42</f>
        <v>0</v>
      </c>
      <c r="V46" s="461">
        <f t="shared" si="31"/>
        <v>0</v>
      </c>
      <c r="W46" s="391">
        <f>U46/$AQ46</f>
        <v>0</v>
      </c>
      <c r="X46" s="459">
        <f>'[7]PTBA 16-17-18'!Z42</f>
        <v>0</v>
      </c>
      <c r="Y46" s="709">
        <f>'[7]PTBA 16-17-18'!AA42</f>
        <v>0</v>
      </c>
      <c r="Z46" s="460"/>
      <c r="AA46" s="298"/>
      <c r="AB46" s="391">
        <f t="shared" si="28"/>
        <v>0.98500635039223017</v>
      </c>
      <c r="AC46" s="298"/>
      <c r="AD46" s="466"/>
      <c r="AE46" s="461"/>
      <c r="AF46" s="744"/>
      <c r="AG46" s="459"/>
      <c r="AH46" s="709"/>
      <c r="AI46" s="460"/>
      <c r="AJ46" s="298"/>
      <c r="AK46" s="298"/>
      <c r="AL46" s="298"/>
      <c r="AM46" s="298"/>
      <c r="AN46" s="298"/>
      <c r="AO46" s="298"/>
      <c r="AP46" s="461">
        <f t="shared" si="16"/>
        <v>30000</v>
      </c>
      <c r="AQ46" s="462">
        <f t="shared" si="30"/>
        <v>289338.2361306735</v>
      </c>
      <c r="AT46" s="463">
        <v>30000</v>
      </c>
      <c r="AU46" s="464"/>
      <c r="AV46" s="464"/>
    </row>
    <row r="47" spans="3:48" ht="19.5" customHeight="1" x14ac:dyDescent="0.35">
      <c r="C47" s="1140"/>
      <c r="D47" s="1142"/>
      <c r="E47" s="1128"/>
      <c r="F47" s="1073"/>
      <c r="G47" s="456"/>
      <c r="H47" s="457" t="s">
        <v>1124</v>
      </c>
      <c r="I47" s="465"/>
      <c r="J47" s="461">
        <f t="shared" si="2"/>
        <v>0</v>
      </c>
      <c r="K47" s="388"/>
      <c r="L47" s="461"/>
      <c r="M47" s="461">
        <f t="shared" si="3"/>
        <v>0</v>
      </c>
      <c r="N47" s="392" t="s">
        <v>702</v>
      </c>
      <c r="O47" s="465">
        <v>150000</v>
      </c>
      <c r="P47" s="461">
        <f t="shared" si="4"/>
        <v>15552.731848298372</v>
      </c>
      <c r="Q47" s="388">
        <f t="shared" si="26"/>
        <v>0.31105463696596741</v>
      </c>
      <c r="R47" s="461">
        <f>O47/($O$47+$O$54)*359480*(1+1%)</f>
        <v>160180.05882352943</v>
      </c>
      <c r="S47" s="710">
        <f t="shared" si="24"/>
        <v>16608.250015513418</v>
      </c>
      <c r="T47" s="390">
        <f t="shared" si="32"/>
        <v>1.0678670588235295</v>
      </c>
      <c r="U47" s="466">
        <f>'[7]PTBA 16-17-18'!X43</f>
        <v>150000</v>
      </c>
      <c r="V47" s="461">
        <f t="shared" si="31"/>
        <v>15552.731848298372</v>
      </c>
      <c r="W47" s="391">
        <f>U47/$AQ47</f>
        <v>0.31105463696596741</v>
      </c>
      <c r="X47" s="459">
        <f>'[7]PTBA 16-17-18'!Z43</f>
        <v>145594.28571428571</v>
      </c>
      <c r="Y47" s="709">
        <f>'[7]PTBA 16-17-18'!AA43</f>
        <v>15095.925895725493</v>
      </c>
      <c r="Z47" s="460"/>
      <c r="AA47" s="298"/>
      <c r="AB47" s="434">
        <f t="shared" si="28"/>
        <v>0.62210927393193483</v>
      </c>
      <c r="AC47" s="298"/>
      <c r="AD47" s="466"/>
      <c r="AE47" s="461"/>
      <c r="AF47" s="744"/>
      <c r="AG47" s="459"/>
      <c r="AH47" s="709"/>
      <c r="AI47" s="460"/>
      <c r="AJ47" s="298"/>
      <c r="AK47" s="298"/>
      <c r="AL47" s="298"/>
      <c r="AM47" s="298"/>
      <c r="AN47" s="298"/>
      <c r="AO47" s="298"/>
      <c r="AP47" s="461">
        <f t="shared" si="16"/>
        <v>50000</v>
      </c>
      <c r="AQ47" s="462">
        <f t="shared" si="30"/>
        <v>482230.39355112246</v>
      </c>
      <c r="AT47" s="463">
        <v>50000</v>
      </c>
      <c r="AU47" s="464"/>
      <c r="AV47" s="464"/>
    </row>
    <row r="48" spans="3:48" ht="19.5" customHeight="1" x14ac:dyDescent="0.35">
      <c r="C48" s="1140"/>
      <c r="D48" s="1142"/>
      <c r="E48" s="1129" t="s">
        <v>1253</v>
      </c>
      <c r="F48" s="1073" t="s">
        <v>1125</v>
      </c>
      <c r="G48" s="456"/>
      <c r="H48" s="457" t="s">
        <v>1126</v>
      </c>
      <c r="I48" s="465"/>
      <c r="J48" s="461">
        <f t="shared" si="2"/>
        <v>0</v>
      </c>
      <c r="K48" s="388"/>
      <c r="L48" s="461"/>
      <c r="M48" s="461">
        <f t="shared" si="3"/>
        <v>0</v>
      </c>
      <c r="N48" s="392" t="s">
        <v>702</v>
      </c>
      <c r="O48" s="465">
        <v>285000</v>
      </c>
      <c r="P48" s="461">
        <f t="shared" si="4"/>
        <v>29550.190511766905</v>
      </c>
      <c r="Q48" s="388">
        <f t="shared" si="26"/>
        <v>0.98500635039223017</v>
      </c>
      <c r="R48" s="461">
        <f>396000*(1+1%)</f>
        <v>399960</v>
      </c>
      <c r="S48" s="710">
        <f t="shared" si="24"/>
        <v>41469.80420030278</v>
      </c>
      <c r="T48" s="1021">
        <f>R48/SUM(O48:O49)</f>
        <v>0.91944827586206901</v>
      </c>
      <c r="U48" s="466">
        <f>'[7]PTBA 16-17-18'!X44</f>
        <v>0</v>
      </c>
      <c r="V48" s="461">
        <f t="shared" si="31"/>
        <v>0</v>
      </c>
      <c r="W48" s="391"/>
      <c r="X48" s="459">
        <f>'[7]PTBA 16-17-18'!Z44</f>
        <v>0</v>
      </c>
      <c r="Y48" s="709">
        <f>'[7]PTBA 16-17-18'!AA44</f>
        <v>0</v>
      </c>
      <c r="Z48" s="460"/>
      <c r="AA48" s="298"/>
      <c r="AB48" s="391">
        <f t="shared" si="28"/>
        <v>0.98500635039223017</v>
      </c>
      <c r="AC48" s="298"/>
      <c r="AD48" s="466"/>
      <c r="AE48" s="461"/>
      <c r="AF48" s="744"/>
      <c r="AG48" s="459"/>
      <c r="AH48" s="709"/>
      <c r="AI48" s="460"/>
      <c r="AJ48" s="298"/>
      <c r="AK48" s="298"/>
      <c r="AL48" s="298"/>
      <c r="AM48" s="298"/>
      <c r="AN48" s="298"/>
      <c r="AO48" s="298"/>
      <c r="AP48" s="461">
        <f t="shared" si="16"/>
        <v>30000</v>
      </c>
      <c r="AQ48" s="462">
        <f t="shared" si="30"/>
        <v>289338.2361306735</v>
      </c>
      <c r="AR48" s="308">
        <f>+O44+O57</f>
        <v>835000</v>
      </c>
      <c r="AT48" s="463">
        <v>30000</v>
      </c>
      <c r="AU48" s="464"/>
      <c r="AV48" s="464"/>
    </row>
    <row r="49" spans="1:48" s="758" customFormat="1" ht="19.5" customHeight="1" x14ac:dyDescent="0.35">
      <c r="C49" s="1140"/>
      <c r="D49" s="1142"/>
      <c r="E49" s="1130"/>
      <c r="F49" s="1073"/>
      <c r="G49" s="752"/>
      <c r="H49" s="753" t="s">
        <v>1127</v>
      </c>
      <c r="I49" s="754">
        <v>150000</v>
      </c>
      <c r="J49" s="755">
        <f t="shared" si="2"/>
        <v>15552.731848298372</v>
      </c>
      <c r="K49" s="756"/>
      <c r="L49" s="755">
        <f>(100100+49742)</f>
        <v>149842</v>
      </c>
      <c r="M49" s="755">
        <f t="shared" si="3"/>
        <v>15536.349637418163</v>
      </c>
      <c r="N49" s="757">
        <f>L49/$I49</f>
        <v>0.99894666666666665</v>
      </c>
      <c r="O49" s="754">
        <v>150000</v>
      </c>
      <c r="P49" s="755">
        <f t="shared" si="4"/>
        <v>15552.731848298372</v>
      </c>
      <c r="Q49" s="756">
        <f t="shared" si="26"/>
        <v>0.31105463696596741</v>
      </c>
      <c r="R49" s="755"/>
      <c r="S49" s="755"/>
      <c r="T49" s="1023"/>
      <c r="U49" s="759">
        <f>'[7]PTBA 16-17-18'!X45</f>
        <v>100000</v>
      </c>
      <c r="V49" s="755">
        <f t="shared" si="31"/>
        <v>10368.48789886558</v>
      </c>
      <c r="W49" s="760">
        <f>U49/$AQ49</f>
        <v>0.20736975797731164</v>
      </c>
      <c r="X49" s="761">
        <f>'[7]PTBA 16-17-18'!Z45</f>
        <v>97062.85714285713</v>
      </c>
      <c r="Y49" s="761">
        <f>'[7]PTBA 16-17-18'!AA45</f>
        <v>10063.950597150328</v>
      </c>
      <c r="Z49" s="762"/>
      <c r="AA49" s="763"/>
      <c r="AB49" s="760">
        <f t="shared" si="28"/>
        <v>0.82947903190924654</v>
      </c>
      <c r="AC49" s="763"/>
      <c r="AD49" s="759"/>
      <c r="AE49" s="755"/>
      <c r="AF49" s="760"/>
      <c r="AG49" s="761"/>
      <c r="AH49" s="761"/>
      <c r="AI49" s="762"/>
      <c r="AJ49" s="763"/>
      <c r="AK49" s="763"/>
      <c r="AL49" s="763"/>
      <c r="AM49" s="763"/>
      <c r="AN49" s="763"/>
      <c r="AO49" s="763"/>
      <c r="AP49" s="755">
        <f t="shared" si="16"/>
        <v>50000</v>
      </c>
      <c r="AQ49" s="764">
        <f t="shared" si="30"/>
        <v>482230.39355112246</v>
      </c>
      <c r="AT49" s="765">
        <v>50000</v>
      </c>
      <c r="AU49" s="766"/>
      <c r="AV49" s="766"/>
    </row>
    <row r="50" spans="1:48" ht="19.5" customHeight="1" x14ac:dyDescent="0.35">
      <c r="C50" s="1140"/>
      <c r="D50" s="1142"/>
      <c r="E50" s="1130"/>
      <c r="F50" s="1073"/>
      <c r="G50" s="456"/>
      <c r="H50" s="457" t="s">
        <v>1128</v>
      </c>
      <c r="I50" s="465"/>
      <c r="J50" s="461">
        <f t="shared" si="2"/>
        <v>0</v>
      </c>
      <c r="K50" s="388"/>
      <c r="L50" s="461"/>
      <c r="M50" s="461">
        <f t="shared" si="3"/>
        <v>0</v>
      </c>
      <c r="N50" s="392" t="s">
        <v>702</v>
      </c>
      <c r="O50" s="465"/>
      <c r="P50" s="461">
        <f t="shared" si="4"/>
        <v>0</v>
      </c>
      <c r="Q50" s="388"/>
      <c r="R50" s="461"/>
      <c r="S50" s="710"/>
      <c r="T50" s="407" t="s">
        <v>702</v>
      </c>
      <c r="U50" s="466">
        <f>'[7]PTBA 16-17-18'!X46</f>
        <v>0</v>
      </c>
      <c r="V50" s="461">
        <f t="shared" si="31"/>
        <v>0</v>
      </c>
      <c r="W50" s="391"/>
      <c r="X50" s="459">
        <f>'[7]PTBA 16-17-18'!Z46</f>
        <v>0</v>
      </c>
      <c r="Y50" s="709">
        <f>'[7]PTBA 16-17-18'!AA46</f>
        <v>0</v>
      </c>
      <c r="Z50" s="460"/>
      <c r="AA50" s="298"/>
      <c r="AB50" s="391">
        <f t="shared" si="28"/>
        <v>0</v>
      </c>
      <c r="AC50" s="298"/>
      <c r="AD50" s="466">
        <f>'[8]Suivi des réalisations'!$X$56</f>
        <v>450000</v>
      </c>
      <c r="AE50" s="461">
        <f t="shared" ref="AE50" si="33">AD50/$A$1</f>
        <v>46658.195544895112</v>
      </c>
      <c r="AF50" s="744"/>
      <c r="AG50" s="459"/>
      <c r="AH50" s="709"/>
      <c r="AI50" s="460"/>
      <c r="AJ50" s="298"/>
      <c r="AK50" s="298"/>
      <c r="AL50" s="298"/>
      <c r="AM50" s="298"/>
      <c r="AN50" s="298"/>
      <c r="AO50" s="298"/>
      <c r="AP50" s="461">
        <f t="shared" si="16"/>
        <v>46590</v>
      </c>
      <c r="AQ50" s="462">
        <f t="shared" si="30"/>
        <v>449342.28071093594</v>
      </c>
      <c r="AT50" s="463">
        <v>46590</v>
      </c>
      <c r="AU50" s="464"/>
      <c r="AV50" s="464"/>
    </row>
    <row r="51" spans="1:48" ht="32.25" customHeight="1" x14ac:dyDescent="0.35">
      <c r="C51" s="1140"/>
      <c r="D51" s="1142"/>
      <c r="E51" s="1130"/>
      <c r="F51" s="1073" t="s">
        <v>1129</v>
      </c>
      <c r="G51" s="456"/>
      <c r="H51" s="457" t="s">
        <v>1130</v>
      </c>
      <c r="I51" s="465" t="s">
        <v>702</v>
      </c>
      <c r="J51" s="461" t="s">
        <v>702</v>
      </c>
      <c r="K51" s="388"/>
      <c r="L51" s="461" t="s">
        <v>702</v>
      </c>
      <c r="M51" s="461" t="s">
        <v>702</v>
      </c>
      <c r="N51" s="392" t="s">
        <v>702</v>
      </c>
      <c r="O51" s="465"/>
      <c r="P51" s="461" t="s">
        <v>702</v>
      </c>
      <c r="Q51" s="388"/>
      <c r="R51" s="461"/>
      <c r="S51" s="710"/>
      <c r="T51" s="407" t="s">
        <v>702</v>
      </c>
      <c r="U51" s="466">
        <f>'[7]PTBA 16-17-18'!X47</f>
        <v>0</v>
      </c>
      <c r="V51" s="461">
        <f t="shared" si="31"/>
        <v>0</v>
      </c>
      <c r="W51" s="391"/>
      <c r="X51" s="459">
        <f>'[7]PTBA 16-17-18'!Z47</f>
        <v>0</v>
      </c>
      <c r="Y51" s="709">
        <f>'[7]PTBA 16-17-18'!AA47</f>
        <v>0</v>
      </c>
      <c r="Z51" s="460"/>
      <c r="AA51" s="298"/>
      <c r="AB51" s="401" t="s">
        <v>702</v>
      </c>
      <c r="AC51" s="298"/>
      <c r="AD51" s="466"/>
      <c r="AE51" s="461"/>
      <c r="AF51" s="744"/>
      <c r="AG51" s="459"/>
      <c r="AH51" s="709"/>
      <c r="AI51" s="460"/>
      <c r="AJ51" s="298"/>
      <c r="AK51" s="298"/>
      <c r="AL51" s="298"/>
      <c r="AM51" s="298"/>
      <c r="AN51" s="298"/>
      <c r="AO51" s="298"/>
      <c r="AP51" s="461" t="str">
        <f t="shared" si="16"/>
        <v>pm</v>
      </c>
      <c r="AQ51" s="467" t="s">
        <v>702</v>
      </c>
      <c r="AT51" s="463" t="s">
        <v>1067</v>
      </c>
      <c r="AU51" s="464"/>
      <c r="AV51" s="464"/>
    </row>
    <row r="52" spans="1:48" x14ac:dyDescent="0.35">
      <c r="C52" s="1140"/>
      <c r="D52" s="1143"/>
      <c r="E52" s="1131"/>
      <c r="F52" s="1073"/>
      <c r="G52" s="456"/>
      <c r="H52" s="457" t="s">
        <v>1131</v>
      </c>
      <c r="I52" s="465"/>
      <c r="J52" s="461">
        <f t="shared" si="2"/>
        <v>0</v>
      </c>
      <c r="K52" s="388"/>
      <c r="L52" s="461"/>
      <c r="M52" s="461">
        <f t="shared" si="3"/>
        <v>0</v>
      </c>
      <c r="N52" s="392" t="s">
        <v>702</v>
      </c>
      <c r="O52" s="465">
        <v>350000</v>
      </c>
      <c r="P52" s="461">
        <f t="shared" si="4"/>
        <v>36289.707646029536</v>
      </c>
      <c r="Q52" s="388">
        <f>O52/$AQ52</f>
        <v>0.36289707646029534</v>
      </c>
      <c r="R52" s="461">
        <f>275520*(1+1%)</f>
        <v>278275.20000000001</v>
      </c>
      <c r="S52" s="710">
        <f t="shared" ref="S52:S63" si="34">R52/$A$1</f>
        <v>28852.930437543993</v>
      </c>
      <c r="T52" s="390">
        <f t="shared" si="32"/>
        <v>0.795072</v>
      </c>
      <c r="U52" s="466">
        <f>'[7]PTBA 16-17-18'!X48</f>
        <v>251000</v>
      </c>
      <c r="V52" s="461">
        <f t="shared" si="31"/>
        <v>26024.904626152609</v>
      </c>
      <c r="W52" s="391">
        <f>U52/$AQ52</f>
        <v>0.26024904626152606</v>
      </c>
      <c r="X52" s="459">
        <f>'[7]PTBA 16-17-18'!Z48</f>
        <v>0</v>
      </c>
      <c r="Y52" s="709">
        <f>'[7]PTBA 16-17-18'!AA48</f>
        <v>0</v>
      </c>
      <c r="Z52" s="460"/>
      <c r="AA52" s="298"/>
      <c r="AB52" s="391">
        <f t="shared" ref="AB52:AB62" si="35">(I52+O52+U52)/AQ52</f>
        <v>0.62314612272182146</v>
      </c>
      <c r="AC52" s="298"/>
      <c r="AD52" s="466"/>
      <c r="AE52" s="461"/>
      <c r="AF52" s="744"/>
      <c r="AG52" s="459"/>
      <c r="AH52" s="709"/>
      <c r="AI52" s="460"/>
      <c r="AJ52" s="298"/>
      <c r="AK52" s="298"/>
      <c r="AL52" s="298"/>
      <c r="AM52" s="298"/>
      <c r="AN52" s="298"/>
      <c r="AO52" s="298"/>
      <c r="AP52" s="461">
        <f t="shared" si="16"/>
        <v>100000</v>
      </c>
      <c r="AQ52" s="462">
        <f>$A$1*AT52</f>
        <v>964460.78710224491</v>
      </c>
      <c r="AT52" s="463">
        <v>100000</v>
      </c>
      <c r="AU52" s="464"/>
      <c r="AV52" s="464"/>
    </row>
    <row r="53" spans="1:48" s="414" customFormat="1" ht="20.25" customHeight="1" x14ac:dyDescent="0.3">
      <c r="A53" s="413">
        <f>L53/$A$1</f>
        <v>57010.301232880491</v>
      </c>
      <c r="C53" s="1074" t="s">
        <v>1132</v>
      </c>
      <c r="D53" s="1075"/>
      <c r="E53" s="1075"/>
      <c r="F53" s="1075"/>
      <c r="G53" s="1075"/>
      <c r="H53" s="1076"/>
      <c r="I53" s="415">
        <f>SUM(I44:I52)</f>
        <v>550000</v>
      </c>
      <c r="J53" s="417">
        <f>SUM(J44:J52)</f>
        <v>57026.683443760689</v>
      </c>
      <c r="K53" s="416">
        <f t="shared" ref="K53:K62" si="36">I53/$AQ53</f>
        <v>0.15555984463231592</v>
      </c>
      <c r="L53" s="417">
        <f>SUM(L44:L52)</f>
        <v>549842</v>
      </c>
      <c r="M53" s="417">
        <f t="shared" si="3"/>
        <v>57010.301232880491</v>
      </c>
      <c r="N53" s="418">
        <f>L53/$I53</f>
        <v>0.99971272727272731</v>
      </c>
      <c r="O53" s="415">
        <f>SUM(O44:O52)</f>
        <v>1755000</v>
      </c>
      <c r="P53" s="417">
        <f>SUM(P44:P52)</f>
        <v>181966.96262509096</v>
      </c>
      <c r="Q53" s="416">
        <f>O53/$AQ53</f>
        <v>0.49637732241766264</v>
      </c>
      <c r="R53" s="417">
        <f>SUM(R44:R52)</f>
        <v>1462595.2588235294</v>
      </c>
      <c r="S53" s="720">
        <f t="shared" si="34"/>
        <v>151649.01242049938</v>
      </c>
      <c r="T53" s="418">
        <f t="shared" si="32"/>
        <v>0.83338761186525889</v>
      </c>
      <c r="U53" s="415">
        <f>SUM(U44:U52)</f>
        <v>944000</v>
      </c>
      <c r="V53" s="417">
        <f>SUM(V44:V52)</f>
        <v>97878.525765291095</v>
      </c>
      <c r="W53" s="416">
        <f>U53/$AQ53</f>
        <v>0.26699726060528406</v>
      </c>
      <c r="X53" s="417">
        <f t="shared" ref="X53:Y53" si="37">SUM(X44:X52)</f>
        <v>242657.14285714284</v>
      </c>
      <c r="Y53" s="707">
        <f t="shared" si="37"/>
        <v>25159.876492875821</v>
      </c>
      <c r="Z53" s="419"/>
      <c r="AA53" s="468"/>
      <c r="AB53" s="416">
        <f t="shared" si="35"/>
        <v>0.91893442765526256</v>
      </c>
      <c r="AC53" s="468"/>
      <c r="AD53" s="415">
        <f t="shared" ref="AD53:AE53" si="38">SUM(AD44:AD52)</f>
        <v>450000</v>
      </c>
      <c r="AE53" s="415">
        <f t="shared" si="38"/>
        <v>46658.195544895112</v>
      </c>
      <c r="AF53" s="416"/>
      <c r="AG53" s="417"/>
      <c r="AH53" s="707"/>
      <c r="AI53" s="419"/>
      <c r="AJ53" s="468"/>
      <c r="AK53" s="468"/>
      <c r="AL53" s="468"/>
      <c r="AM53" s="468"/>
      <c r="AN53" s="468"/>
      <c r="AO53" s="468"/>
      <c r="AP53" s="421">
        <f>SUM(AP44:AP52)</f>
        <v>366590</v>
      </c>
      <c r="AQ53" s="422">
        <f>SUM(AQ44:AQ52)</f>
        <v>3535616.7994381199</v>
      </c>
      <c r="AT53" s="417">
        <f>SUM(AT44:AT52)</f>
        <v>366590</v>
      </c>
      <c r="AU53" s="423"/>
      <c r="AV53" s="423"/>
    </row>
    <row r="54" spans="1:48" s="298" customFormat="1" ht="26.25" customHeight="1" x14ac:dyDescent="0.35">
      <c r="A54"/>
      <c r="B54"/>
      <c r="C54" s="1077" t="s">
        <v>1133</v>
      </c>
      <c r="D54" s="1078" t="s">
        <v>864</v>
      </c>
      <c r="E54" s="1132" t="s">
        <v>1261</v>
      </c>
      <c r="F54" s="1081"/>
      <c r="G54" s="469"/>
      <c r="H54" s="470" t="s">
        <v>1134</v>
      </c>
      <c r="I54" s="471">
        <v>100000</v>
      </c>
      <c r="J54" s="472">
        <f t="shared" si="2"/>
        <v>10368.48789886558</v>
      </c>
      <c r="K54" s="391">
        <f t="shared" si="36"/>
        <v>0.20736975797731164</v>
      </c>
      <c r="L54" s="472"/>
      <c r="M54" s="472">
        <f t="shared" si="3"/>
        <v>0</v>
      </c>
      <c r="N54" s="390">
        <f>L54/$I54</f>
        <v>0</v>
      </c>
      <c r="O54" s="472">
        <v>190000</v>
      </c>
      <c r="P54" s="472">
        <f t="shared" si="4"/>
        <v>19700.127007844603</v>
      </c>
      <c r="Q54" s="473">
        <f>O54/$AQ54</f>
        <v>0.39400254015689207</v>
      </c>
      <c r="R54" s="472">
        <f>O54/($O$47+$O$54)*359480*(1+1%)</f>
        <v>202894.74117647059</v>
      </c>
      <c r="S54" s="709">
        <f t="shared" si="34"/>
        <v>21037.116686316993</v>
      </c>
      <c r="T54" s="390">
        <f t="shared" si="32"/>
        <v>1.0678670588235295</v>
      </c>
      <c r="U54" s="474">
        <f>'[7]PTBA 16-17-18'!X50</f>
        <v>100000</v>
      </c>
      <c r="V54" s="472">
        <f t="shared" ref="V54" si="39">U54/$A$1</f>
        <v>10368.48789886558</v>
      </c>
      <c r="W54" s="744">
        <f t="shared" ref="W54:W61" si="40">U54/$AQ54</f>
        <v>0.20736975797731164</v>
      </c>
      <c r="X54" s="472">
        <f>'[7]PTBA 16-17-18'!Z50</f>
        <v>97062.85714285713</v>
      </c>
      <c r="Y54" s="709">
        <f>'[7]PTBA 16-17-18'!AA50</f>
        <v>10063.950597150328</v>
      </c>
      <c r="Z54" s="475"/>
      <c r="AB54" s="391">
        <f t="shared" si="35"/>
        <v>0.80874205611151528</v>
      </c>
      <c r="AD54" s="474"/>
      <c r="AE54" s="472"/>
      <c r="AF54" s="744"/>
      <c r="AG54" s="472"/>
      <c r="AH54" s="709"/>
      <c r="AI54" s="475"/>
      <c r="AP54" s="476">
        <f t="shared" si="16"/>
        <v>50000</v>
      </c>
      <c r="AQ54" s="477">
        <f t="shared" ref="AQ54:AQ61" si="41">$A$1*AT54</f>
        <v>482230.39355112246</v>
      </c>
      <c r="AR54"/>
      <c r="AS54"/>
      <c r="AT54" s="478">
        <v>50000</v>
      </c>
      <c r="AU54" s="479"/>
      <c r="AV54" s="479"/>
    </row>
    <row r="55" spans="1:48" s="298" customFormat="1" ht="25.5" customHeight="1" x14ac:dyDescent="0.35">
      <c r="A55"/>
      <c r="B55"/>
      <c r="C55" s="1077"/>
      <c r="D55" s="1079"/>
      <c r="E55" s="1132"/>
      <c r="F55" s="1082"/>
      <c r="G55" s="480"/>
      <c r="H55" s="470" t="s">
        <v>1135</v>
      </c>
      <c r="I55" s="471">
        <v>200000</v>
      </c>
      <c r="J55" s="1083">
        <f>SUM(I55:I61)/$A$1</f>
        <v>165895.80638184928</v>
      </c>
      <c r="K55" s="391">
        <f t="shared" si="36"/>
        <v>0.51842439494327908</v>
      </c>
      <c r="L55" s="1083">
        <f>1452114*(1+1%)</f>
        <v>1466635.14</v>
      </c>
      <c r="M55" s="1083">
        <f t="shared" si="3"/>
        <v>152067.88701141026</v>
      </c>
      <c r="N55" s="1021">
        <f>L55/SUM($I55:$I61)</f>
        <v>0.91664696249999988</v>
      </c>
      <c r="O55" s="472">
        <v>270000</v>
      </c>
      <c r="P55" s="472">
        <f t="shared" si="4"/>
        <v>27994.917326937069</v>
      </c>
      <c r="Q55" s="1086">
        <f>SUM(O55:O61)/SUM($AQ55:$AQ61)</f>
        <v>0.42679589723237393</v>
      </c>
      <c r="R55" s="472">
        <v>0</v>
      </c>
      <c r="S55" s="709">
        <f t="shared" si="34"/>
        <v>0</v>
      </c>
      <c r="T55" s="1021">
        <f>SUM(R55:R61)/SUM(O55:O61)</f>
        <v>0.12838983050847458</v>
      </c>
      <c r="U55" s="474">
        <f>'[7]PTBA 16-17-18'!X51</f>
        <v>0</v>
      </c>
      <c r="V55" s="472">
        <f t="shared" ref="V55:V61" si="42">U55/$A$1</f>
        <v>0</v>
      </c>
      <c r="W55" s="391">
        <f t="shared" si="40"/>
        <v>0</v>
      </c>
      <c r="X55" s="472">
        <f>'[7]PTBA 16-17-18'!Z51</f>
        <v>0</v>
      </c>
      <c r="Y55" s="709">
        <f>'[7]PTBA 16-17-18'!AA51</f>
        <v>0</v>
      </c>
      <c r="Z55" s="475"/>
      <c r="AB55" s="391">
        <f t="shared" si="35"/>
        <v>1.2182973281167058</v>
      </c>
      <c r="AD55" s="474"/>
      <c r="AE55" s="472"/>
      <c r="AF55" s="744"/>
      <c r="AG55" s="472"/>
      <c r="AH55" s="709"/>
      <c r="AI55" s="475"/>
      <c r="AP55" s="476">
        <f t="shared" si="16"/>
        <v>40000</v>
      </c>
      <c r="AQ55" s="477">
        <f t="shared" si="41"/>
        <v>385784.31484089798</v>
      </c>
      <c r="AR55"/>
      <c r="AS55"/>
      <c r="AT55" s="478">
        <v>40000</v>
      </c>
      <c r="AU55" s="479"/>
      <c r="AV55" s="479"/>
    </row>
    <row r="56" spans="1:48" s="298" customFormat="1" ht="25.5" customHeight="1" x14ac:dyDescent="0.35">
      <c r="A56"/>
      <c r="B56"/>
      <c r="C56" s="1077"/>
      <c r="D56" s="1079"/>
      <c r="E56" s="1132"/>
      <c r="F56" s="1024" t="s">
        <v>1136</v>
      </c>
      <c r="G56" s="481"/>
      <c r="H56" s="470" t="s">
        <v>1137</v>
      </c>
      <c r="I56" s="471">
        <v>200000</v>
      </c>
      <c r="J56" s="1084">
        <f t="shared" si="2"/>
        <v>20736.97579773116</v>
      </c>
      <c r="K56" s="391">
        <f t="shared" si="36"/>
        <v>0.51842439494327908</v>
      </c>
      <c r="L56" s="1084"/>
      <c r="M56" s="1084">
        <f t="shared" si="3"/>
        <v>0</v>
      </c>
      <c r="N56" s="1022"/>
      <c r="O56" s="472">
        <v>260000</v>
      </c>
      <c r="P56" s="472">
        <f t="shared" si="4"/>
        <v>26958.068537050509</v>
      </c>
      <c r="Q56" s="1087"/>
      <c r="R56" s="472">
        <v>0</v>
      </c>
      <c r="S56" s="709">
        <f t="shared" si="34"/>
        <v>0</v>
      </c>
      <c r="T56" s="1022"/>
      <c r="U56" s="474">
        <f>'[7]PTBA 16-17-18'!X52</f>
        <v>0</v>
      </c>
      <c r="V56" s="472">
        <f t="shared" si="42"/>
        <v>0</v>
      </c>
      <c r="W56" s="391">
        <f t="shared" si="40"/>
        <v>0</v>
      </c>
      <c r="X56" s="472">
        <f>'[7]PTBA 16-17-18'!Z52</f>
        <v>0</v>
      </c>
      <c r="Y56" s="709">
        <f>'[7]PTBA 16-17-18'!AA52</f>
        <v>0</v>
      </c>
      <c r="Z56" s="475"/>
      <c r="AB56" s="391">
        <f t="shared" si="35"/>
        <v>1.1923761083695419</v>
      </c>
      <c r="AD56" s="474"/>
      <c r="AE56" s="472"/>
      <c r="AF56" s="744"/>
      <c r="AG56" s="472"/>
      <c r="AH56" s="709"/>
      <c r="AI56" s="475"/>
      <c r="AP56" s="476">
        <f t="shared" si="16"/>
        <v>40000</v>
      </c>
      <c r="AQ56" s="477">
        <f t="shared" si="41"/>
        <v>385784.31484089798</v>
      </c>
      <c r="AR56"/>
      <c r="AS56"/>
      <c r="AT56" s="478">
        <v>40000</v>
      </c>
      <c r="AU56" s="479"/>
      <c r="AV56" s="479"/>
    </row>
    <row r="57" spans="1:48" s="298" customFormat="1" ht="18.75" customHeight="1" x14ac:dyDescent="0.35">
      <c r="A57"/>
      <c r="B57"/>
      <c r="C57" s="1077"/>
      <c r="D57" s="1079"/>
      <c r="E57" s="1132"/>
      <c r="F57" s="1024"/>
      <c r="G57" s="481"/>
      <c r="H57" s="470" t="s">
        <v>1138</v>
      </c>
      <c r="I57" s="471"/>
      <c r="J57" s="1084">
        <f t="shared" si="2"/>
        <v>0</v>
      </c>
      <c r="K57" s="391">
        <f t="shared" si="36"/>
        <v>0</v>
      </c>
      <c r="L57" s="1084"/>
      <c r="M57" s="1084">
        <f t="shared" si="3"/>
        <v>0</v>
      </c>
      <c r="N57" s="1022"/>
      <c r="O57" s="472">
        <f>550000*0+300000</f>
        <v>300000</v>
      </c>
      <c r="P57" s="472">
        <f t="shared" si="4"/>
        <v>31105.463696596744</v>
      </c>
      <c r="Q57" s="1087"/>
      <c r="R57" s="472">
        <f>225000*(1+1%)</f>
        <v>227250</v>
      </c>
      <c r="S57" s="709">
        <f t="shared" si="34"/>
        <v>23562.388750172031</v>
      </c>
      <c r="T57" s="1022"/>
      <c r="U57" s="474">
        <f>'[7]PTBA 16-17-18'!X53</f>
        <v>867000</v>
      </c>
      <c r="V57" s="472">
        <f t="shared" si="42"/>
        <v>89894.790083164582</v>
      </c>
      <c r="W57" s="391">
        <f t="shared" si="40"/>
        <v>0.81722536439240523</v>
      </c>
      <c r="X57" s="472">
        <f>'[7]PTBA 16-17-18'!Z53</f>
        <v>0</v>
      </c>
      <c r="Y57" s="709">
        <f>'[7]PTBA 16-17-18'!AA53</f>
        <v>0</v>
      </c>
      <c r="Z57" s="475"/>
      <c r="AB57" s="391">
        <f t="shared" si="35"/>
        <v>1.1000023070887393</v>
      </c>
      <c r="AD57" s="474"/>
      <c r="AE57" s="472"/>
      <c r="AF57" s="744"/>
      <c r="AG57" s="472"/>
      <c r="AH57" s="709"/>
      <c r="AI57" s="475"/>
      <c r="AP57" s="476">
        <f t="shared" si="16"/>
        <v>110000</v>
      </c>
      <c r="AQ57" s="477">
        <f t="shared" si="41"/>
        <v>1060906.8658124695</v>
      </c>
      <c r="AR57"/>
      <c r="AS57"/>
      <c r="AT57" s="478">
        <v>110000</v>
      </c>
      <c r="AU57" s="479"/>
      <c r="AV57" s="479"/>
    </row>
    <row r="58" spans="1:48" s="298" customFormat="1" ht="27.75" customHeight="1" x14ac:dyDescent="0.35">
      <c r="A58"/>
      <c r="B58"/>
      <c r="C58" s="1077"/>
      <c r="D58" s="1079"/>
      <c r="E58" s="1132" t="s">
        <v>1262</v>
      </c>
      <c r="F58" s="1024" t="s">
        <v>1139</v>
      </c>
      <c r="G58" s="481"/>
      <c r="H58" s="470" t="s">
        <v>1140</v>
      </c>
      <c r="I58" s="471">
        <v>300000</v>
      </c>
      <c r="J58" s="1084">
        <f t="shared" si="2"/>
        <v>31105.463696596744</v>
      </c>
      <c r="K58" s="391">
        <f t="shared" si="36"/>
        <v>0.51842439494327897</v>
      </c>
      <c r="L58" s="1084"/>
      <c r="M58" s="1084">
        <f t="shared" si="3"/>
        <v>0</v>
      </c>
      <c r="N58" s="1022"/>
      <c r="O58" s="472">
        <v>200000</v>
      </c>
      <c r="P58" s="472">
        <f t="shared" si="4"/>
        <v>20736.97579773116</v>
      </c>
      <c r="Q58" s="1087"/>
      <c r="R58" s="472">
        <v>0</v>
      </c>
      <c r="S58" s="709">
        <f t="shared" si="34"/>
        <v>0</v>
      </c>
      <c r="T58" s="1022"/>
      <c r="U58" s="474">
        <f>'[7]PTBA 16-17-18'!X54</f>
        <v>0</v>
      </c>
      <c r="V58" s="472">
        <f t="shared" si="42"/>
        <v>0</v>
      </c>
      <c r="W58" s="391">
        <f t="shared" si="40"/>
        <v>0</v>
      </c>
      <c r="X58" s="472">
        <f>'[7]PTBA 16-17-18'!Z54</f>
        <v>0</v>
      </c>
      <c r="Y58" s="709">
        <f>'[7]PTBA 16-17-18'!AA54</f>
        <v>0</v>
      </c>
      <c r="Z58" s="475"/>
      <c r="AB58" s="391">
        <f t="shared" si="35"/>
        <v>0.86404065823879839</v>
      </c>
      <c r="AD58" s="474"/>
      <c r="AE58" s="472"/>
      <c r="AF58" s="744"/>
      <c r="AG58" s="472"/>
      <c r="AH58" s="709"/>
      <c r="AI58" s="475"/>
      <c r="AP58" s="476">
        <f t="shared" si="16"/>
        <v>60000</v>
      </c>
      <c r="AQ58" s="477">
        <f t="shared" si="41"/>
        <v>578676.47226134699</v>
      </c>
      <c r="AR58"/>
      <c r="AS58"/>
      <c r="AT58" s="478">
        <v>60000</v>
      </c>
      <c r="AU58" s="479"/>
      <c r="AV58" s="479"/>
    </row>
    <row r="59" spans="1:48" s="298" customFormat="1" ht="26.25" customHeight="1" x14ac:dyDescent="0.35">
      <c r="A59"/>
      <c r="B59"/>
      <c r="C59" s="1077"/>
      <c r="D59" s="1079"/>
      <c r="E59" s="1132"/>
      <c r="F59" s="1024"/>
      <c r="G59" s="481"/>
      <c r="H59" s="470" t="s">
        <v>1141</v>
      </c>
      <c r="I59" s="471">
        <v>300000</v>
      </c>
      <c r="J59" s="1084">
        <f t="shared" si="2"/>
        <v>31105.463696596744</v>
      </c>
      <c r="K59" s="391">
        <f t="shared" si="36"/>
        <v>0.51842439494327897</v>
      </c>
      <c r="L59" s="1084"/>
      <c r="M59" s="1084">
        <f t="shared" si="3"/>
        <v>0</v>
      </c>
      <c r="N59" s="1022"/>
      <c r="O59" s="472">
        <v>200000</v>
      </c>
      <c r="P59" s="472">
        <f t="shared" si="4"/>
        <v>20736.97579773116</v>
      </c>
      <c r="Q59" s="1087"/>
      <c r="R59" s="472">
        <v>0</v>
      </c>
      <c r="S59" s="709">
        <f t="shared" si="34"/>
        <v>0</v>
      </c>
      <c r="T59" s="1022"/>
      <c r="U59" s="474">
        <f>'[7]PTBA 16-17-18'!X55</f>
        <v>0</v>
      </c>
      <c r="V59" s="472">
        <f t="shared" si="42"/>
        <v>0</v>
      </c>
      <c r="W59" s="391">
        <f t="shared" si="40"/>
        <v>0</v>
      </c>
      <c r="X59" s="472">
        <f>'[7]PTBA 16-17-18'!Z55</f>
        <v>0</v>
      </c>
      <c r="Y59" s="709">
        <f>'[7]PTBA 16-17-18'!AA55</f>
        <v>0</v>
      </c>
      <c r="Z59" s="475"/>
      <c r="AB59" s="391">
        <f t="shared" si="35"/>
        <v>0.86404065823879839</v>
      </c>
      <c r="AD59" s="474"/>
      <c r="AE59" s="472"/>
      <c r="AF59" s="744"/>
      <c r="AG59" s="472"/>
      <c r="AH59" s="709"/>
      <c r="AI59" s="475"/>
      <c r="AP59" s="476">
        <f t="shared" si="16"/>
        <v>60000</v>
      </c>
      <c r="AQ59" s="477">
        <f t="shared" si="41"/>
        <v>578676.47226134699</v>
      </c>
      <c r="AR59"/>
      <c r="AS59"/>
      <c r="AT59" s="478">
        <v>60000</v>
      </c>
      <c r="AU59" s="479"/>
      <c r="AV59" s="479"/>
    </row>
    <row r="60" spans="1:48" s="298" customFormat="1" ht="24.75" customHeight="1" x14ac:dyDescent="0.35">
      <c r="A60"/>
      <c r="B60"/>
      <c r="C60" s="1077"/>
      <c r="D60" s="1079"/>
      <c r="E60" s="1132"/>
      <c r="F60" s="1024" t="s">
        <v>1142</v>
      </c>
      <c r="G60" s="481"/>
      <c r="H60" s="470" t="s">
        <v>1143</v>
      </c>
      <c r="I60" s="471">
        <v>300000</v>
      </c>
      <c r="J60" s="1084">
        <f t="shared" si="2"/>
        <v>31105.463696596744</v>
      </c>
      <c r="K60" s="391">
        <f t="shared" si="36"/>
        <v>0.51842439494327897</v>
      </c>
      <c r="L60" s="1084"/>
      <c r="M60" s="1084">
        <f t="shared" si="3"/>
        <v>0</v>
      </c>
      <c r="N60" s="1022"/>
      <c r="O60" s="472">
        <v>270000</v>
      </c>
      <c r="P60" s="472">
        <f t="shared" si="4"/>
        <v>27994.917326937069</v>
      </c>
      <c r="Q60" s="1087"/>
      <c r="R60" s="472">
        <v>0</v>
      </c>
      <c r="S60" s="709">
        <f t="shared" si="34"/>
        <v>0</v>
      </c>
      <c r="T60" s="1022"/>
      <c r="U60" s="474">
        <f>'[7]PTBA 16-17-18'!X56</f>
        <v>0</v>
      </c>
      <c r="V60" s="472">
        <f t="shared" si="42"/>
        <v>0</v>
      </c>
      <c r="W60" s="744">
        <f t="shared" si="40"/>
        <v>0</v>
      </c>
      <c r="X60" s="472">
        <f>'[7]PTBA 16-17-18'!Z56</f>
        <v>0</v>
      </c>
      <c r="Y60" s="709">
        <f>'[7]PTBA 16-17-18'!AA56</f>
        <v>0</v>
      </c>
      <c r="Z60" s="472"/>
      <c r="AB60" s="391">
        <f t="shared" si="35"/>
        <v>0.98500635039223017</v>
      </c>
      <c r="AD60" s="474"/>
      <c r="AE60" s="472"/>
      <c r="AF60" s="744"/>
      <c r="AG60" s="472"/>
      <c r="AH60" s="709"/>
      <c r="AI60" s="472"/>
      <c r="AP60" s="476">
        <f t="shared" si="16"/>
        <v>60000</v>
      </c>
      <c r="AQ60" s="477">
        <f t="shared" si="41"/>
        <v>578676.47226134699</v>
      </c>
      <c r="AR60"/>
      <c r="AS60"/>
      <c r="AT60" s="478">
        <v>60000</v>
      </c>
      <c r="AU60" s="479"/>
      <c r="AV60" s="479"/>
    </row>
    <row r="61" spans="1:48" s="298" customFormat="1" ht="25.5" customHeight="1" x14ac:dyDescent="0.35">
      <c r="A61"/>
      <c r="B61"/>
      <c r="C61" s="1077"/>
      <c r="D61" s="1080"/>
      <c r="E61" s="1132"/>
      <c r="F61" s="1024"/>
      <c r="G61" s="481"/>
      <c r="H61" s="482" t="s">
        <v>1144</v>
      </c>
      <c r="I61" s="471">
        <v>300000</v>
      </c>
      <c r="J61" s="1085">
        <f t="shared" si="2"/>
        <v>31105.463696596744</v>
      </c>
      <c r="K61" s="391">
        <f t="shared" si="36"/>
        <v>0.51842439494327897</v>
      </c>
      <c r="L61" s="1085"/>
      <c r="M61" s="1085">
        <f t="shared" si="3"/>
        <v>0</v>
      </c>
      <c r="N61" s="1023"/>
      <c r="O61" s="472">
        <v>270000</v>
      </c>
      <c r="P61" s="472">
        <f t="shared" si="4"/>
        <v>27994.917326937069</v>
      </c>
      <c r="Q61" s="1088"/>
      <c r="R61" s="472">
        <v>0</v>
      </c>
      <c r="S61" s="709">
        <f t="shared" si="34"/>
        <v>0</v>
      </c>
      <c r="T61" s="1023"/>
      <c r="U61" s="474">
        <f>'[7]PTBA 16-17-18'!X57</f>
        <v>0</v>
      </c>
      <c r="V61" s="472">
        <f t="shared" si="42"/>
        <v>0</v>
      </c>
      <c r="W61" s="744">
        <f t="shared" si="40"/>
        <v>0</v>
      </c>
      <c r="X61" s="472">
        <f>'[7]PTBA 16-17-18'!Z57</f>
        <v>0</v>
      </c>
      <c r="Y61" s="709">
        <f>'[7]PTBA 16-17-18'!AA57</f>
        <v>0</v>
      </c>
      <c r="Z61" s="472"/>
      <c r="AB61" s="391">
        <f t="shared" si="35"/>
        <v>0.98500635039223017</v>
      </c>
      <c r="AD61" s="474"/>
      <c r="AE61" s="472"/>
      <c r="AF61" s="744"/>
      <c r="AG61" s="472"/>
      <c r="AH61" s="709"/>
      <c r="AI61" s="472"/>
      <c r="AP61" s="476">
        <f t="shared" si="16"/>
        <v>60000</v>
      </c>
      <c r="AQ61" s="477">
        <f t="shared" si="41"/>
        <v>578676.47226134699</v>
      </c>
      <c r="AR61"/>
      <c r="AS61"/>
      <c r="AT61" s="478">
        <v>60000</v>
      </c>
      <c r="AU61" s="479"/>
    </row>
    <row r="62" spans="1:48" s="483" customFormat="1" ht="21.75" customHeight="1" x14ac:dyDescent="0.3">
      <c r="A62" s="483">
        <f>L62/$A$1</f>
        <v>152067.88701141026</v>
      </c>
      <c r="B62" s="484"/>
      <c r="C62" s="1074" t="s">
        <v>1145</v>
      </c>
      <c r="D62" s="1075"/>
      <c r="E62" s="1075"/>
      <c r="F62" s="1075"/>
      <c r="G62" s="1075"/>
      <c r="H62" s="1076"/>
      <c r="I62" s="415">
        <f>SUM(I54:I61)</f>
        <v>1700000</v>
      </c>
      <c r="J62" s="417">
        <f>SUM(J54:J61)</f>
        <v>321423.12486483296</v>
      </c>
      <c r="K62" s="485">
        <f t="shared" si="36"/>
        <v>0.36721727975148932</v>
      </c>
      <c r="L62" s="417">
        <f>SUM(L54:L61)</f>
        <v>1466635.14</v>
      </c>
      <c r="M62" s="417">
        <f t="shared" si="3"/>
        <v>152067.88701141026</v>
      </c>
      <c r="N62" s="486">
        <f>L62/$I62</f>
        <v>0.86272655294117639</v>
      </c>
      <c r="O62" s="415">
        <f>SUM(O54:O61)</f>
        <v>1960000</v>
      </c>
      <c r="P62" s="417">
        <f>SUM(P54:P61)</f>
        <v>203222.36281776542</v>
      </c>
      <c r="Q62" s="485">
        <f>O62/$AQ62</f>
        <v>0.42337992253701118</v>
      </c>
      <c r="R62" s="417">
        <f>SUM(R54:R61)</f>
        <v>430144.74117647059</v>
      </c>
      <c r="S62" s="720">
        <f t="shared" si="34"/>
        <v>44599.505436489024</v>
      </c>
      <c r="T62" s="418">
        <f t="shared" ref="T62" si="43">R62/O62</f>
        <v>0.21946160264105644</v>
      </c>
      <c r="U62" s="421">
        <f>SUM(U54:U61)</f>
        <v>967000</v>
      </c>
      <c r="V62" s="421">
        <f>SUM(V54:V61)</f>
        <v>100263.27798203017</v>
      </c>
      <c r="W62" s="885">
        <f>U62/$AQ62</f>
        <v>0.20888182912922951</v>
      </c>
      <c r="X62" s="421">
        <f t="shared" ref="X62:Y62" si="44">SUM(X54:X61)</f>
        <v>97062.85714285713</v>
      </c>
      <c r="Y62" s="886">
        <f t="shared" si="44"/>
        <v>10063.950597150328</v>
      </c>
      <c r="Z62" s="887"/>
      <c r="AA62" s="488"/>
      <c r="AB62" s="416">
        <f t="shared" si="35"/>
        <v>0.99947903141772998</v>
      </c>
      <c r="AC62" s="488"/>
      <c r="AD62" s="421">
        <f>SUM(AD54:AD61)</f>
        <v>0</v>
      </c>
      <c r="AE62" s="421">
        <f>SUM(AE54:AE61)</f>
        <v>0</v>
      </c>
      <c r="AF62" s="885">
        <f>AD62/$AQ62</f>
        <v>0</v>
      </c>
      <c r="AG62" s="421">
        <f t="shared" ref="AG62:AH62" si="45">SUM(AG54:AG61)</f>
        <v>0</v>
      </c>
      <c r="AH62" s="886">
        <f t="shared" si="45"/>
        <v>0</v>
      </c>
      <c r="AI62" s="887"/>
      <c r="AJ62" s="488"/>
      <c r="AK62" s="488"/>
      <c r="AL62" s="488"/>
      <c r="AM62" s="488"/>
      <c r="AN62" s="488"/>
      <c r="AO62" s="488"/>
      <c r="AP62" s="421">
        <f>SUM(AP54:AP61)</f>
        <v>480000</v>
      </c>
      <c r="AQ62" s="422">
        <f>SUM(AQ54:AQ61)</f>
        <v>4629411.7780907759</v>
      </c>
      <c r="AR62" s="483">
        <v>2480000</v>
      </c>
      <c r="AS62" s="484"/>
      <c r="AT62" s="487">
        <f>SUM(AT54:AT61)</f>
        <v>480000</v>
      </c>
      <c r="AU62" s="489"/>
    </row>
    <row r="63" spans="1:48" s="298" customFormat="1" x14ac:dyDescent="0.35">
      <c r="A63" s="490">
        <f>SUM(A5:A62)</f>
        <v>1711472.0847899131</v>
      </c>
      <c r="B63"/>
      <c r="C63" s="1095" t="s">
        <v>1146</v>
      </c>
      <c r="D63" s="1096"/>
      <c r="E63" s="1096"/>
      <c r="F63" s="1096"/>
      <c r="G63" s="1096"/>
      <c r="H63" s="1096"/>
      <c r="I63" s="1153">
        <v>6480000</v>
      </c>
      <c r="J63" s="1153">
        <f>I63/$A$1</f>
        <v>671878.0158464897</v>
      </c>
      <c r="K63" s="1047">
        <f>SUM(I63:I65)/$AQ63</f>
        <v>0.94024578995194308</v>
      </c>
      <c r="L63" s="491">
        <v>200000</v>
      </c>
      <c r="M63" s="491">
        <f t="shared" si="3"/>
        <v>20736.97579773116</v>
      </c>
      <c r="N63" s="1154">
        <f>SUM(L63:L66)/$I63</f>
        <v>0.8580888888888889</v>
      </c>
      <c r="O63" s="1147">
        <v>1000000</v>
      </c>
      <c r="P63" s="1153">
        <f>O63:O66/$A$1</f>
        <v>103684.87898865581</v>
      </c>
      <c r="Q63" s="1144">
        <f>SUM(O63:O66)/$AQ63</f>
        <v>0.14509965894320109</v>
      </c>
      <c r="R63" s="1147">
        <f>400000+300000+300000</f>
        <v>1000000</v>
      </c>
      <c r="S63" s="1150">
        <f t="shared" si="34"/>
        <v>103684.87898865581</v>
      </c>
      <c r="T63" s="1021">
        <f>SUM(R63:R66)/SUM(O63:O66)</f>
        <v>1</v>
      </c>
      <c r="U63" s="746">
        <f>'[7]PTBA 16-17-18'!X59</f>
        <v>0</v>
      </c>
      <c r="V63" s="491">
        <f t="shared" ref="V63:V66" si="46">U63/$A$1</f>
        <v>0</v>
      </c>
      <c r="W63" s="1067">
        <f>SUM(U63:U66)/$AQ63</f>
        <v>0</v>
      </c>
      <c r="X63" s="491">
        <f>'[7]PTBA 16-17-18'!Z59</f>
        <v>0</v>
      </c>
      <c r="Y63" s="709">
        <f>'[7]PTBA 16-17-18'!AA59</f>
        <v>0</v>
      </c>
      <c r="Z63" s="491"/>
      <c r="AB63" s="1047">
        <f>(SUM(I63:I66)+SUM(O63:O66)+SUM(U63:U66))/SUM(AQ63:AQ66)</f>
        <v>1.0853454488951442</v>
      </c>
      <c r="AD63" s="746"/>
      <c r="AE63" s="491"/>
      <c r="AF63" s="1067"/>
      <c r="AG63" s="491"/>
      <c r="AH63" s="709"/>
      <c r="AI63" s="491"/>
      <c r="AP63" s="492">
        <f>429400+285177</f>
        <v>714577</v>
      </c>
      <c r="AQ63" s="1089">
        <f>$A$1*AT63</f>
        <v>6891814.9586516088</v>
      </c>
      <c r="AR63" s="308">
        <f>AR62-O62</f>
        <v>520000</v>
      </c>
      <c r="AS63"/>
      <c r="AT63" s="1092">
        <f>429400+285177</f>
        <v>714577</v>
      </c>
      <c r="AU63" s="493"/>
      <c r="AV63" s="493"/>
    </row>
    <row r="64" spans="1:48" s="298" customFormat="1" x14ac:dyDescent="0.35">
      <c r="A64"/>
      <c r="B64"/>
      <c r="C64" s="1095" t="s">
        <v>1147</v>
      </c>
      <c r="D64" s="1096"/>
      <c r="E64" s="1096"/>
      <c r="F64" s="1096"/>
      <c r="G64" s="1096"/>
      <c r="H64" s="1096"/>
      <c r="I64" s="1153"/>
      <c r="J64" s="1153"/>
      <c r="K64" s="1059"/>
      <c r="L64" s="491">
        <v>280000</v>
      </c>
      <c r="M64" s="491">
        <f t="shared" si="3"/>
        <v>29031.766116823626</v>
      </c>
      <c r="N64" s="1155" t="e">
        <f>L64/AQ64</f>
        <v>#DIV/0!</v>
      </c>
      <c r="O64" s="1148"/>
      <c r="P64" s="1153"/>
      <c r="Q64" s="1145"/>
      <c r="R64" s="1148"/>
      <c r="S64" s="1151">
        <f t="shared" ref="R64:S71" si="47">O64/$A$1</f>
        <v>0</v>
      </c>
      <c r="T64" s="1022" t="e">
        <f>R64/#REF!</f>
        <v>#REF!</v>
      </c>
      <c r="U64" s="746">
        <f>'[7]PTBA 16-17-18'!X60</f>
        <v>0</v>
      </c>
      <c r="V64" s="491">
        <f t="shared" si="46"/>
        <v>0</v>
      </c>
      <c r="W64" s="1067"/>
      <c r="X64" s="491">
        <f>'[7]PTBA 16-17-18'!Z60</f>
        <v>0</v>
      </c>
      <c r="Y64" s="709">
        <f>'[7]PTBA 16-17-18'!AA60</f>
        <v>0</v>
      </c>
      <c r="Z64" s="491"/>
      <c r="AB64" s="1059"/>
      <c r="AD64" s="746"/>
      <c r="AE64" s="491"/>
      <c r="AF64" s="1067"/>
      <c r="AG64" s="491"/>
      <c r="AH64" s="709"/>
      <c r="AI64" s="491"/>
      <c r="AP64" s="492">
        <f t="shared" si="16"/>
        <v>0</v>
      </c>
      <c r="AQ64" s="1090"/>
      <c r="AR64"/>
      <c r="AS64"/>
      <c r="AT64" s="1093"/>
      <c r="AU64" s="493"/>
      <c r="AV64" s="493"/>
    </row>
    <row r="65" spans="1:60" s="298" customFormat="1" x14ac:dyDescent="0.35">
      <c r="A65"/>
      <c r="B65"/>
      <c r="C65" s="1095" t="s">
        <v>1148</v>
      </c>
      <c r="D65" s="1096"/>
      <c r="E65" s="1096"/>
      <c r="F65" s="1096"/>
      <c r="G65" s="1096"/>
      <c r="H65" s="1096"/>
      <c r="I65" s="1153"/>
      <c r="J65" s="1153"/>
      <c r="K65" s="1059"/>
      <c r="L65" s="491">
        <v>150000</v>
      </c>
      <c r="M65" s="491">
        <f t="shared" si="3"/>
        <v>15552.731848298372</v>
      </c>
      <c r="N65" s="1155"/>
      <c r="O65" s="1149"/>
      <c r="P65" s="1153"/>
      <c r="Q65" s="1145"/>
      <c r="R65" s="1149"/>
      <c r="S65" s="1152">
        <f t="shared" si="47"/>
        <v>0</v>
      </c>
      <c r="T65" s="1022"/>
      <c r="U65" s="746">
        <f>'[7]PTBA 16-17-18'!X61</f>
        <v>0</v>
      </c>
      <c r="V65" s="491">
        <f t="shared" si="46"/>
        <v>0</v>
      </c>
      <c r="W65" s="1067"/>
      <c r="X65" s="491">
        <f>'[7]PTBA 16-17-18'!Z61</f>
        <v>0</v>
      </c>
      <c r="Y65" s="709">
        <f>'[7]PTBA 16-17-18'!AA61</f>
        <v>0</v>
      </c>
      <c r="Z65" s="491"/>
      <c r="AB65" s="1059"/>
      <c r="AD65" s="746"/>
      <c r="AE65" s="491"/>
      <c r="AF65" s="1067"/>
      <c r="AG65" s="491"/>
      <c r="AH65" s="709"/>
      <c r="AI65" s="491"/>
      <c r="AP65" s="492"/>
      <c r="AQ65" s="1090"/>
      <c r="AR65"/>
      <c r="AS65"/>
      <c r="AT65" s="1093"/>
      <c r="AU65" s="493"/>
      <c r="AV65" s="493"/>
      <c r="AW65" s="490"/>
    </row>
    <row r="66" spans="1:60" s="298" customFormat="1" x14ac:dyDescent="0.35">
      <c r="A66"/>
      <c r="B66"/>
      <c r="C66" s="1095" t="s">
        <v>1149</v>
      </c>
      <c r="D66" s="1096"/>
      <c r="E66" s="1096"/>
      <c r="F66" s="1096"/>
      <c r="G66" s="1096"/>
      <c r="H66" s="1096"/>
      <c r="I66" s="1153"/>
      <c r="J66" s="1153"/>
      <c r="K66" s="1048"/>
      <c r="L66" s="491">
        <f>4881600*(1+1%)</f>
        <v>4930416</v>
      </c>
      <c r="M66" s="491">
        <f t="shared" si="3"/>
        <v>511209.58632373239</v>
      </c>
      <c r="N66" s="1156" t="e">
        <f>L66/AQ66</f>
        <v>#DIV/0!</v>
      </c>
      <c r="O66" s="494"/>
      <c r="P66" s="1153"/>
      <c r="Q66" s="1146"/>
      <c r="R66" s="491"/>
      <c r="S66" s="709"/>
      <c r="T66" s="1023" t="e">
        <f>R66/#REF!</f>
        <v>#REF!</v>
      </c>
      <c r="U66" s="746">
        <f>'[7]PTBA 16-17-18'!X62</f>
        <v>0</v>
      </c>
      <c r="V66" s="491">
        <f t="shared" si="46"/>
        <v>0</v>
      </c>
      <c r="W66" s="1067"/>
      <c r="X66" s="491">
        <f>'[7]PTBA 16-17-18'!Z62</f>
        <v>0</v>
      </c>
      <c r="Y66" s="709">
        <f>'[7]PTBA 16-17-18'!AA62</f>
        <v>0</v>
      </c>
      <c r="Z66" s="491"/>
      <c r="AB66" s="1048"/>
      <c r="AD66" s="746"/>
      <c r="AE66" s="491"/>
      <c r="AF66" s="1067"/>
      <c r="AG66" s="491"/>
      <c r="AH66" s="709"/>
      <c r="AI66" s="491"/>
      <c r="AP66" s="492">
        <f>AT66</f>
        <v>0</v>
      </c>
      <c r="AQ66" s="1091"/>
      <c r="AR66"/>
      <c r="AS66"/>
      <c r="AT66" s="1094"/>
      <c r="AU66" s="493"/>
      <c r="AV66" s="493"/>
    </row>
    <row r="67" spans="1:60" s="298" customFormat="1" ht="15" thickBot="1" x14ac:dyDescent="0.4">
      <c r="A67"/>
      <c r="B67"/>
      <c r="C67" s="1158" t="s">
        <v>1150</v>
      </c>
      <c r="D67" s="1159"/>
      <c r="E67" s="1159"/>
      <c r="F67" s="1159"/>
      <c r="G67" s="1159"/>
      <c r="H67" s="1160"/>
      <c r="I67" s="495">
        <v>1800000</v>
      </c>
      <c r="J67" s="569">
        <f>I67/$A$1</f>
        <v>186632.78217958045</v>
      </c>
      <c r="K67" s="496">
        <f>I67/$AQ67</f>
        <v>0.41473951595462322</v>
      </c>
      <c r="L67" s="497">
        <f>960000*(1+1%)</f>
        <v>969600</v>
      </c>
      <c r="M67" s="497">
        <f t="shared" si="3"/>
        <v>100532.85866740067</v>
      </c>
      <c r="N67" s="498">
        <f>L67/$I67</f>
        <v>0.53866666666666663</v>
      </c>
      <c r="O67" s="497">
        <v>849000</v>
      </c>
      <c r="P67" s="569">
        <f>O67/$A$1</f>
        <v>88028.462261368782</v>
      </c>
      <c r="Q67" s="499">
        <f>O67/$AQ67</f>
        <v>0.19561880502526394</v>
      </c>
      <c r="R67" s="497">
        <f>480000*(1+1%)</f>
        <v>484800</v>
      </c>
      <c r="S67" s="711">
        <f>R67/$A$1</f>
        <v>50266.429333700333</v>
      </c>
      <c r="T67" s="500">
        <f t="shared" ref="T67" si="48">R67/O67</f>
        <v>0.57102473498233219</v>
      </c>
      <c r="U67" s="746">
        <f>'[7]PTBA 16-17-18'!X63</f>
        <v>243000</v>
      </c>
      <c r="V67" s="491">
        <f>U67/$A$1</f>
        <v>25195.425594243363</v>
      </c>
      <c r="W67" s="743">
        <f>U67/$AQ67</f>
        <v>5.5989834653874131E-2</v>
      </c>
      <c r="X67" s="491">
        <f>'[7]PTBA 16-17-18'!Z63</f>
        <v>0</v>
      </c>
      <c r="Y67" s="709">
        <f>'[7]PTBA 16-17-18'!AA63</f>
        <v>0</v>
      </c>
      <c r="Z67" s="491"/>
      <c r="AB67" s="391">
        <f>W67+T67</f>
        <v>0.62701456963620628</v>
      </c>
      <c r="AD67" s="746"/>
      <c r="AE67" s="491"/>
      <c r="AF67" s="743"/>
      <c r="AG67" s="491"/>
      <c r="AH67" s="709"/>
      <c r="AI67" s="491"/>
      <c r="AP67" s="492">
        <v>450000</v>
      </c>
      <c r="AQ67" s="501">
        <f>$A$1*AT67</f>
        <v>4340073.5419601025</v>
      </c>
      <c r="AR67"/>
      <c r="AS67"/>
      <c r="AT67" s="502">
        <v>450000</v>
      </c>
      <c r="AU67" s="493"/>
      <c r="AV67" s="493"/>
    </row>
    <row r="68" spans="1:60" s="264" customFormat="1" ht="14.25" customHeight="1" x14ac:dyDescent="0.35">
      <c r="A68" s="6"/>
      <c r="B68" s="6"/>
      <c r="C68" s="6"/>
      <c r="D68" s="6"/>
      <c r="E68" s="6"/>
      <c r="F68" s="6"/>
      <c r="G68" s="6"/>
      <c r="H68" s="6"/>
      <c r="I68" s="6"/>
      <c r="J68" s="6"/>
      <c r="K68" s="6"/>
      <c r="L68" s="6"/>
      <c r="M68" s="6"/>
      <c r="N68" s="6"/>
      <c r="O68" s="6"/>
      <c r="P68" s="6"/>
      <c r="Q68" s="6"/>
      <c r="R68" s="503"/>
      <c r="S68" s="312"/>
      <c r="T68" s="6"/>
      <c r="U68" s="6"/>
      <c r="V68" s="6"/>
      <c r="W68" s="6"/>
      <c r="X68" s="6"/>
      <c r="Y68" s="312"/>
      <c r="Z68" s="6"/>
      <c r="AA68" s="298"/>
      <c r="AB68" s="6"/>
      <c r="AC68" s="298"/>
      <c r="AD68" s="6"/>
      <c r="AE68" s="6"/>
      <c r="AF68" s="6"/>
      <c r="AG68" s="6"/>
      <c r="AH68" s="312"/>
      <c r="AI68" s="6"/>
      <c r="AJ68" s="298"/>
      <c r="AK68" s="298"/>
      <c r="AL68" s="298"/>
      <c r="AM68" s="298"/>
      <c r="AN68" s="298"/>
      <c r="AO68" s="298"/>
      <c r="AP68" s="504"/>
      <c r="AQ68" s="6"/>
      <c r="AR68" s="6"/>
      <c r="AS68" s="6"/>
      <c r="AT68" s="505"/>
      <c r="AU68" s="505"/>
      <c r="AV68" s="627" t="s">
        <v>1222</v>
      </c>
      <c r="AW68" s="626" t="s">
        <v>1223</v>
      </c>
      <c r="AX68" s="626" t="s">
        <v>1224</v>
      </c>
      <c r="BB68" s="537" t="s">
        <v>660</v>
      </c>
      <c r="BC68" s="537"/>
      <c r="BD68" s="537"/>
    </row>
    <row r="69" spans="1:60" s="506" customFormat="1" ht="25.5" customHeight="1" x14ac:dyDescent="0.35">
      <c r="A69" s="506">
        <f>L69/$A$1</f>
        <v>2388536.0035438999</v>
      </c>
      <c r="B69" s="507"/>
      <c r="C69" s="1028" t="s">
        <v>1151</v>
      </c>
      <c r="D69" s="1029"/>
      <c r="E69" s="1029"/>
      <c r="F69" s="1029"/>
      <c r="G69" s="1029"/>
      <c r="H69" s="1030"/>
      <c r="I69" s="508">
        <f>+I18+I28+I43+I53+I62+SUM(I63:I67)</f>
        <v>23370000</v>
      </c>
      <c r="J69" s="508">
        <f>+J18+J28+J43+J53+J62+SUM(J63:J67)</f>
        <v>2568274.4525490045</v>
      </c>
      <c r="K69" s="509">
        <f>I69/$AQ69</f>
        <v>0.28171940179337135</v>
      </c>
      <c r="L69" s="510">
        <f>+L18+L28+L43+L53+L62+SUM(L63:L67)</f>
        <v>23036493.140000001</v>
      </c>
      <c r="M69" s="510">
        <f t="shared" si="3"/>
        <v>2388536.0035438999</v>
      </c>
      <c r="N69" s="509">
        <f>L69/$I69</f>
        <v>0.98572927428326917</v>
      </c>
      <c r="O69" s="510">
        <f>+O18+O28+O43+O53+O62+SUM(O63:O67)</f>
        <v>38560000</v>
      </c>
      <c r="P69" s="508">
        <f>+P18+P28+P43+P53+P62+SUM(P63:P67)</f>
        <v>3998088.9338025688</v>
      </c>
      <c r="Q69" s="509">
        <f>O69/$AQ69</f>
        <v>0.4648309855863243</v>
      </c>
      <c r="R69" s="510">
        <f>+R18+R28+R43+R53+R62+SUM(R63:R67)</f>
        <v>35472837.100000001</v>
      </c>
      <c r="S69" s="721">
        <f>R69/$A$1</f>
        <v>3677996.8220978002</v>
      </c>
      <c r="T69" s="509">
        <f t="shared" ref="T69" si="49">R69/O69</f>
        <v>0.91993872147302913</v>
      </c>
      <c r="U69" s="510">
        <f>+U18+U28+U43+U53+U62+SUM(U63:U67)</f>
        <v>15480053</v>
      </c>
      <c r="V69" s="510">
        <f>+V18+V28+V43+V53+V62+SUM(V63:V67)</f>
        <v>1605047.4220429785</v>
      </c>
      <c r="W69" s="509">
        <f>U69/$AQ69</f>
        <v>0.18660809888274213</v>
      </c>
      <c r="X69" s="510">
        <f>+X18+X28+X43+X53+X62+SUM(X63:X67)</f>
        <v>12666420</v>
      </c>
      <c r="Y69" s="751">
        <f>+Y18+Y28+Y43+Y53+Y62+SUM(Y63:Y67)</f>
        <v>1313316.2249194896</v>
      </c>
      <c r="Z69" s="511"/>
      <c r="AA69" s="298"/>
      <c r="AB69" s="512" t="e">
        <f>W69+#REF!</f>
        <v>#REF!</v>
      </c>
      <c r="AC69" s="298"/>
      <c r="AD69" s="510">
        <f>+AD18+AD28+AD43+AD53+AD62+SUM(AD63:AD67)</f>
        <v>7194593.4503530413</v>
      </c>
      <c r="AE69" s="510">
        <f>+AE18+AE28+AE43+AE53+AE62+SUM(AE63:AE67)</f>
        <v>745970.55127243069</v>
      </c>
      <c r="AF69" s="509">
        <f>AD69/$AQ69</f>
        <v>8.67289928532292E-2</v>
      </c>
      <c r="AG69" s="510">
        <f>+AG18+AG28+AG43+AG53+AG62+SUM(AG63:AG67)</f>
        <v>0</v>
      </c>
      <c r="AH69" s="751">
        <f>+AH18+AH28+AH43+AH53+AH62+SUM(AH63:AH67)</f>
        <v>0</v>
      </c>
      <c r="AI69" s="511"/>
      <c r="AJ69" s="298"/>
      <c r="AK69" s="298"/>
      <c r="AL69" s="298"/>
      <c r="AM69" s="298"/>
      <c r="AN69" s="298"/>
      <c r="AO69" s="298"/>
      <c r="AP69" s="513">
        <f>AP18+AP28+AP43+AP53+AP62+SUM(AP63:AP67)</f>
        <v>8601167</v>
      </c>
      <c r="AQ69" s="511">
        <f>+AQ18+AQ28+AQ43+AQ53+AQ62+SUM(AQ63:AQ67)</f>
        <v>82954882.948178545</v>
      </c>
      <c r="AR69" s="507"/>
      <c r="AS69" s="507"/>
      <c r="AT69" s="514">
        <f>+AT18+AT28+AT43+AT53+AT62+(AT63+AT67)</f>
        <v>8601167</v>
      </c>
      <c r="AU69" s="515"/>
      <c r="AV69" s="489">
        <f>M69-SUM(M63:M67)-M49</f>
        <v>1695935.7351524956</v>
      </c>
      <c r="AW69" s="489">
        <f>S69-SUM(S63:S67)</f>
        <v>3524045.5137754441</v>
      </c>
      <c r="AX69" s="489">
        <f>Y69-SUM(Y63:Y67)</f>
        <v>1313316.2249194896</v>
      </c>
      <c r="BB69" s="730" t="s">
        <v>1180</v>
      </c>
      <c r="BC69" s="731" t="s">
        <v>1210</v>
      </c>
      <c r="BD69" s="734">
        <v>10436000</v>
      </c>
    </row>
    <row r="70" spans="1:60" s="264" customFormat="1" ht="12" customHeight="1" x14ac:dyDescent="0.35">
      <c r="A70" s="6"/>
      <c r="B70" s="6"/>
      <c r="C70" s="6"/>
      <c r="D70" s="6"/>
      <c r="E70" s="6"/>
      <c r="F70" s="6"/>
      <c r="G70" s="6"/>
      <c r="H70" s="6"/>
      <c r="I70" s="6"/>
      <c r="J70" s="6"/>
      <c r="K70" s="6"/>
      <c r="L70" s="6"/>
      <c r="M70" s="6"/>
      <c r="N70" s="6"/>
      <c r="O70" s="6"/>
      <c r="P70" s="6"/>
      <c r="Q70" s="6"/>
      <c r="R70" s="6"/>
      <c r="S70" s="312"/>
      <c r="T70" s="6"/>
      <c r="U70" s="6"/>
      <c r="V70" s="6"/>
      <c r="W70" s="6"/>
      <c r="X70" s="6"/>
      <c r="Y70" s="312"/>
      <c r="Z70" s="6"/>
      <c r="AA70" s="298"/>
      <c r="AB70" s="6"/>
      <c r="AC70" s="298"/>
      <c r="AD70" s="6"/>
      <c r="AE70" s="6"/>
      <c r="AF70" s="6"/>
      <c r="AG70" s="6"/>
      <c r="AH70" s="312"/>
      <c r="AI70" s="6"/>
      <c r="AJ70" s="298"/>
      <c r="AK70" s="298"/>
      <c r="AL70" s="298"/>
      <c r="AM70" s="298"/>
      <c r="AN70" s="298"/>
      <c r="AO70" s="298"/>
      <c r="AP70" s="504"/>
      <c r="AQ70" s="6"/>
      <c r="AR70" s="6"/>
      <c r="AS70" s="6"/>
      <c r="AT70" s="6"/>
      <c r="AU70" s="6"/>
      <c r="AV70" s="6"/>
      <c r="BB70" s="730" t="s">
        <v>1185</v>
      </c>
      <c r="BC70" s="731" t="s">
        <v>1211</v>
      </c>
      <c r="BD70" s="732">
        <v>4070000</v>
      </c>
    </row>
    <row r="71" spans="1:60" ht="20.25" customHeight="1" x14ac:dyDescent="0.35">
      <c r="C71" s="1025" t="s">
        <v>1152</v>
      </c>
      <c r="D71" s="1026"/>
      <c r="E71" s="1026"/>
      <c r="F71" s="1026"/>
      <c r="G71" s="1026"/>
      <c r="H71" s="1027"/>
      <c r="I71" s="516">
        <v>0</v>
      </c>
      <c r="J71" s="516">
        <f>I71/$A$1</f>
        <v>0</v>
      </c>
      <c r="K71" s="391"/>
      <c r="L71" s="516">
        <v>0</v>
      </c>
      <c r="M71" s="516">
        <f t="shared" si="3"/>
        <v>0</v>
      </c>
      <c r="N71" s="517"/>
      <c r="O71" s="516"/>
      <c r="P71" s="516">
        <f>O71/$A$1</f>
        <v>0</v>
      </c>
      <c r="Q71" s="391"/>
      <c r="R71" s="516">
        <f t="shared" si="47"/>
        <v>0</v>
      </c>
      <c r="S71" s="709">
        <f>R71/$A$1</f>
        <v>0</v>
      </c>
      <c r="T71" s="517"/>
      <c r="U71" s="746">
        <f>'[7]PTBA 16-17-18'!X67</f>
        <v>0</v>
      </c>
      <c r="V71" s="746">
        <f>U71/$A$1</f>
        <v>0</v>
      </c>
      <c r="W71" s="744"/>
      <c r="X71" s="491">
        <f>'[7]PTBA 16-17-18'!Z67</f>
        <v>0</v>
      </c>
      <c r="Y71" s="709">
        <f>'[7]PTBA 16-17-18'!AA67</f>
        <v>0</v>
      </c>
      <c r="Z71" s="516"/>
      <c r="AA71" s="298"/>
      <c r="AB71" s="518"/>
      <c r="AC71" s="298"/>
      <c r="AD71" s="746"/>
      <c r="AE71" s="746"/>
      <c r="AF71" s="744"/>
      <c r="AG71" s="491"/>
      <c r="AH71" s="709"/>
      <c r="AI71" s="516"/>
      <c r="AJ71" s="298"/>
      <c r="AK71" s="298"/>
      <c r="AL71" s="298"/>
      <c r="AM71" s="298"/>
      <c r="AN71" s="298"/>
      <c r="AO71" s="298"/>
      <c r="AP71" s="519">
        <f t="shared" ref="AP71:AP79" si="50">AT71</f>
        <v>0</v>
      </c>
      <c r="AQ71" s="520">
        <f>$A$1*AT71</f>
        <v>0</v>
      </c>
      <c r="AS71" s="398"/>
      <c r="AT71" s="521">
        <f>285177*0</f>
        <v>0</v>
      </c>
      <c r="AU71" s="522"/>
      <c r="AV71" s="522"/>
      <c r="AW71" s="308"/>
      <c r="BB71" s="730" t="s">
        <v>1186</v>
      </c>
      <c r="BC71" s="731" t="s">
        <v>1212</v>
      </c>
      <c r="BD71" s="732">
        <v>12800000</v>
      </c>
    </row>
    <row r="72" spans="1:60" ht="15" customHeight="1" x14ac:dyDescent="0.35">
      <c r="C72" s="1060" t="s">
        <v>697</v>
      </c>
      <c r="D72" s="523"/>
      <c r="E72" s="523"/>
      <c r="F72" s="1025" t="s">
        <v>1153</v>
      </c>
      <c r="G72" s="1026"/>
      <c r="H72" s="1027"/>
      <c r="I72" s="516">
        <v>100000</v>
      </c>
      <c r="J72" s="516">
        <f t="shared" ref="J72:J78" si="51">I72/$A$1</f>
        <v>10368.48789886558</v>
      </c>
      <c r="K72" s="1047">
        <f>SUM(I72:I74)/$AQ72</f>
        <v>0.22170995806495275</v>
      </c>
      <c r="L72" s="516">
        <v>100000</v>
      </c>
      <c r="M72" s="516">
        <f t="shared" si="3"/>
        <v>10368.48789886558</v>
      </c>
      <c r="N72" s="1052">
        <f>SUM(L72:L74)/SUM($I72:$I74)</f>
        <v>1</v>
      </c>
      <c r="O72" s="516">
        <v>100000</v>
      </c>
      <c r="P72" s="516">
        <f t="shared" ref="P72:P78" si="52">O72/$A$1</f>
        <v>10368.48789886558</v>
      </c>
      <c r="Q72" s="1047">
        <f>SUM(O72:O74)/$AQ72</f>
        <v>0.14780663870996852</v>
      </c>
      <c r="R72" s="516">
        <v>100000</v>
      </c>
      <c r="S72" s="709">
        <f>R72/$A$1</f>
        <v>10368.48789886558</v>
      </c>
      <c r="T72" s="1052">
        <f>SUM(R72:R74)/SUM(O72:O74)</f>
        <v>1</v>
      </c>
      <c r="U72" s="746">
        <f>'[7]PTBA 16-17-18'!X68</f>
        <v>100000</v>
      </c>
      <c r="V72" s="746">
        <f t="shared" ref="V72:V74" si="53">U72/$A$1</f>
        <v>10368.48789886558</v>
      </c>
      <c r="W72" s="1043">
        <f>SUM(U72:U74)/$AQ72</f>
        <v>0.14780663870996852</v>
      </c>
      <c r="X72" s="491">
        <f>'[7]PTBA 16-17-18'!Z68</f>
        <v>96800</v>
      </c>
      <c r="Y72" s="709">
        <f>'[7]PTBA 16-17-18'!AA68</f>
        <v>10036.696286101882</v>
      </c>
      <c r="Z72" s="516"/>
      <c r="AA72" s="298"/>
      <c r="AB72" s="1047">
        <f>(SUM(I72:I73)+SUM(O72:O73)+SUM(U72:U73))/SUM(AQ72:AQ73)</f>
        <v>0.51732323548488979</v>
      </c>
      <c r="AC72" s="298"/>
      <c r="AD72" s="1070">
        <f>'[8]Suivi des réalisations'!$X$89</f>
        <v>850000</v>
      </c>
      <c r="AE72" s="1070">
        <f>AD72/F1</f>
        <v>88132.14714035744</v>
      </c>
      <c r="AF72" s="1043"/>
      <c r="AG72" s="491"/>
      <c r="AH72" s="709"/>
      <c r="AI72" s="516"/>
      <c r="AJ72" s="298"/>
      <c r="AK72" s="298"/>
      <c r="AL72" s="298"/>
      <c r="AM72" s="298"/>
      <c r="AN72" s="298"/>
      <c r="AO72" s="298"/>
      <c r="AP72" s="519">
        <f t="shared" si="50"/>
        <v>140298</v>
      </c>
      <c r="AQ72" s="1049">
        <f>$A$1*AT72</f>
        <v>1353119.1950887076</v>
      </c>
      <c r="AS72" s="398"/>
      <c r="AT72" s="1050">
        <v>140298</v>
      </c>
      <c r="AU72" s="524"/>
      <c r="AV72" s="524"/>
      <c r="BB72" s="730" t="s">
        <v>678</v>
      </c>
      <c r="BC72" s="731" t="s">
        <v>1213</v>
      </c>
      <c r="BD72" s="732">
        <v>1500000</v>
      </c>
    </row>
    <row r="73" spans="1:60" ht="15" customHeight="1" x14ac:dyDescent="0.35">
      <c r="C73" s="1061"/>
      <c r="D73" s="525"/>
      <c r="E73" s="525"/>
      <c r="F73" s="1025" t="s">
        <v>1154</v>
      </c>
      <c r="G73" s="1026"/>
      <c r="H73" s="1027"/>
      <c r="I73" s="516">
        <f>100000*2</f>
        <v>200000</v>
      </c>
      <c r="J73" s="516">
        <f t="shared" si="51"/>
        <v>20736.97579773116</v>
      </c>
      <c r="K73" s="1059"/>
      <c r="L73" s="516">
        <f>100000*2</f>
        <v>200000</v>
      </c>
      <c r="M73" s="516">
        <f t="shared" ref="M73:M90" si="54">L73/$A$1</f>
        <v>20736.97579773116</v>
      </c>
      <c r="N73" s="1053"/>
      <c r="O73" s="516">
        <v>100000</v>
      </c>
      <c r="P73" s="516">
        <f t="shared" si="52"/>
        <v>10368.48789886558</v>
      </c>
      <c r="Q73" s="1059"/>
      <c r="R73" s="516">
        <v>100000</v>
      </c>
      <c r="S73" s="709">
        <f>R73/$A$1</f>
        <v>10368.48789886558</v>
      </c>
      <c r="T73" s="1053"/>
      <c r="U73" s="746">
        <f>'[7]PTBA 16-17-18'!X69</f>
        <v>100000</v>
      </c>
      <c r="V73" s="746">
        <f t="shared" si="53"/>
        <v>10368.48789886558</v>
      </c>
      <c r="W73" s="1043"/>
      <c r="X73" s="491">
        <f>'[7]PTBA 16-17-18'!Z69</f>
        <v>0</v>
      </c>
      <c r="Y73" s="709">
        <f>'[7]PTBA 16-17-18'!AA69</f>
        <v>0</v>
      </c>
      <c r="Z73" s="516"/>
      <c r="AA73" s="298"/>
      <c r="AB73" s="1048"/>
      <c r="AC73" s="298"/>
      <c r="AD73" s="1071"/>
      <c r="AE73" s="1071"/>
      <c r="AF73" s="1043"/>
      <c r="AG73" s="491"/>
      <c r="AH73" s="709"/>
      <c r="AI73" s="516"/>
      <c r="AJ73" s="298"/>
      <c r="AK73" s="298"/>
      <c r="AL73" s="298"/>
      <c r="AM73" s="298"/>
      <c r="AN73" s="298"/>
      <c r="AO73" s="298"/>
      <c r="AP73" s="519">
        <f t="shared" si="50"/>
        <v>0</v>
      </c>
      <c r="AQ73" s="1049"/>
      <c r="AS73" s="398"/>
      <c r="AT73" s="1051"/>
      <c r="AU73" s="524"/>
      <c r="AV73" s="524"/>
      <c r="AW73" s="308"/>
      <c r="BB73" s="1065" t="s">
        <v>1215</v>
      </c>
      <c r="BC73" s="1066"/>
      <c r="BD73" s="565">
        <f>SUM(BD69:BD72)</f>
        <v>28806000</v>
      </c>
    </row>
    <row r="74" spans="1:60" ht="15" customHeight="1" x14ac:dyDescent="0.35">
      <c r="C74" s="1034" t="s">
        <v>1155</v>
      </c>
      <c r="D74" s="1035"/>
      <c r="E74" s="1035"/>
      <c r="F74" s="1035"/>
      <c r="G74" s="1035"/>
      <c r="H74" s="1036"/>
      <c r="I74" s="526">
        <f>150000*0</f>
        <v>0</v>
      </c>
      <c r="J74" s="516">
        <f t="shared" si="51"/>
        <v>0</v>
      </c>
      <c r="K74" s="1048"/>
      <c r="L74" s="519">
        <f>(100100+49742)*0</f>
        <v>0</v>
      </c>
      <c r="M74" s="519">
        <f t="shared" si="54"/>
        <v>0</v>
      </c>
      <c r="N74" s="1054"/>
      <c r="O74" s="526"/>
      <c r="P74" s="516">
        <f t="shared" si="52"/>
        <v>0</v>
      </c>
      <c r="Q74" s="1048"/>
      <c r="R74" s="526">
        <f t="shared" ref="R74:R88" si="55">N74/$A$1</f>
        <v>0</v>
      </c>
      <c r="S74" s="712">
        <f>R74/$A$1</f>
        <v>0</v>
      </c>
      <c r="T74" s="1054"/>
      <c r="U74" s="746">
        <f>'[7]PTBA 16-17-18'!X70</f>
        <v>0</v>
      </c>
      <c r="V74" s="746">
        <f t="shared" si="53"/>
        <v>0</v>
      </c>
      <c r="W74" s="1043"/>
      <c r="X74" s="491">
        <f>'[7]PTBA 16-17-18'!Z70</f>
        <v>0</v>
      </c>
      <c r="Y74" s="709">
        <f>'[7]PTBA 16-17-18'!AA70</f>
        <v>0</v>
      </c>
      <c r="Z74" s="526"/>
      <c r="AA74" s="298"/>
      <c r="AB74" s="391"/>
      <c r="AC74" s="298"/>
      <c r="AD74" s="1071"/>
      <c r="AE74" s="1071"/>
      <c r="AF74" s="1043"/>
      <c r="AG74" s="491"/>
      <c r="AH74" s="709"/>
      <c r="AI74" s="526"/>
      <c r="AJ74" s="298"/>
      <c r="AK74" s="298"/>
      <c r="AL74" s="298"/>
      <c r="AM74" s="298"/>
      <c r="AN74" s="298"/>
      <c r="AO74" s="298"/>
      <c r="AP74" s="519">
        <f t="shared" si="50"/>
        <v>0</v>
      </c>
      <c r="AQ74" s="527"/>
      <c r="AS74" s="398"/>
      <c r="AT74" s="528"/>
      <c r="AU74" s="524"/>
      <c r="AV74" s="524"/>
      <c r="AW74" s="308"/>
      <c r="BB74" s="1097" t="s">
        <v>1214</v>
      </c>
      <c r="BC74" s="1097"/>
      <c r="BD74" s="733">
        <f>BD73-1000000</f>
        <v>27806000</v>
      </c>
    </row>
    <row r="75" spans="1:60" ht="15" customHeight="1" x14ac:dyDescent="0.35">
      <c r="C75" s="1037" t="s">
        <v>688</v>
      </c>
      <c r="D75" s="529"/>
      <c r="E75" s="529"/>
      <c r="F75" s="1040" t="s">
        <v>1156</v>
      </c>
      <c r="G75" s="1041"/>
      <c r="H75" s="1042"/>
      <c r="I75" s="530">
        <v>1040000</v>
      </c>
      <c r="J75" s="530">
        <f t="shared" si="51"/>
        <v>107832.27414820204</v>
      </c>
      <c r="K75" s="1043">
        <f>SUM(I75:I77)/$AQ75</f>
        <v>0.76909533356571091</v>
      </c>
      <c r="L75" s="516">
        <f>1040000*0+899997.71</f>
        <v>899997.71</v>
      </c>
      <c r="M75" s="516">
        <f t="shared" si="54"/>
        <v>93316.153651417335</v>
      </c>
      <c r="N75" s="1157">
        <f>SUM(L75:L77)/SUM($I75:$I77)</f>
        <v>0.89658910587567409</v>
      </c>
      <c r="O75" s="530"/>
      <c r="P75" s="530">
        <f t="shared" si="52"/>
        <v>0</v>
      </c>
      <c r="Q75" s="1043">
        <f>SUM(O75:O77)/$AQ75</f>
        <v>4.3661387088601247E-2</v>
      </c>
      <c r="R75" s="530"/>
      <c r="S75" s="709"/>
      <c r="T75" s="1052">
        <f>SUM(R75:R77)/SUM(O75:O77)</f>
        <v>0.996</v>
      </c>
      <c r="U75" s="747">
        <f>'[7]PTBA 16-17-18'!X71</f>
        <v>0</v>
      </c>
      <c r="V75" s="530">
        <f t="shared" ref="V75:V78" si="56">U75/$A$1</f>
        <v>0</v>
      </c>
      <c r="W75" s="1043">
        <f>SUM(U75:U77)/$AQ75</f>
        <v>0.17464554835440499</v>
      </c>
      <c r="X75" s="530">
        <f>'[7]PTBA 16-17-18'!Z71</f>
        <v>0</v>
      </c>
      <c r="Y75" s="709">
        <f>'[7]PTBA 16-17-18'!AA71</f>
        <v>0</v>
      </c>
      <c r="Z75" s="530"/>
      <c r="AA75" s="298"/>
      <c r="AB75" s="1047">
        <f>(SUM(I75:I77)+SUM(O75:O77)+SUM(U75:U77))/SUM(AQ75:AQ77)</f>
        <v>0.98740226900871719</v>
      </c>
      <c r="AC75" s="298"/>
      <c r="AD75" s="1071"/>
      <c r="AE75" s="1071"/>
      <c r="AF75" s="1043"/>
      <c r="AG75" s="530"/>
      <c r="AH75" s="709"/>
      <c r="AI75" s="530"/>
      <c r="AJ75" s="298"/>
      <c r="AK75" s="298"/>
      <c r="AL75" s="298"/>
      <c r="AM75" s="298"/>
      <c r="AN75" s="298"/>
      <c r="AO75" s="298"/>
      <c r="AP75" s="531">
        <f t="shared" si="50"/>
        <v>237475</v>
      </c>
      <c r="AQ75" s="1044">
        <f>$A$1*AT75</f>
        <v>2290353.2541710562</v>
      </c>
      <c r="AS75" s="398"/>
      <c r="AT75" s="1050">
        <v>237475</v>
      </c>
      <c r="AU75" s="524"/>
      <c r="AV75" s="524"/>
      <c r="AW75" s="308"/>
      <c r="BB75" s="1097" t="s">
        <v>1216</v>
      </c>
      <c r="BC75" s="1097"/>
      <c r="BD75" s="733">
        <f>BD74/F1</f>
        <v>2883061.7451585634</v>
      </c>
    </row>
    <row r="76" spans="1:60" ht="27" customHeight="1" x14ac:dyDescent="0.35">
      <c r="C76" s="1038"/>
      <c r="D76" s="532"/>
      <c r="E76" s="532"/>
      <c r="F76" s="1062" t="s">
        <v>1157</v>
      </c>
      <c r="G76" s="1063"/>
      <c r="H76" s="1064"/>
      <c r="I76" s="533">
        <v>570000</v>
      </c>
      <c r="J76" s="533">
        <f t="shared" si="51"/>
        <v>59100.38102353381</v>
      </c>
      <c r="K76" s="1043"/>
      <c r="L76" s="516">
        <f>143340+223752+97800+22141+22072+27151</f>
        <v>536256</v>
      </c>
      <c r="M76" s="516">
        <f t="shared" si="54"/>
        <v>55601.638466940611</v>
      </c>
      <c r="N76" s="1157" t="e">
        <f>L76/AQ76</f>
        <v>#DIV/0!</v>
      </c>
      <c r="O76" s="530"/>
      <c r="P76" s="533">
        <f t="shared" si="52"/>
        <v>0</v>
      </c>
      <c r="Q76" s="1043"/>
      <c r="R76" s="530"/>
      <c r="S76" s="709"/>
      <c r="T76" s="1053"/>
      <c r="U76" s="747">
        <f>'[7]PTBA 16-17-18'!X72</f>
        <v>0</v>
      </c>
      <c r="V76" s="530">
        <f t="shared" si="56"/>
        <v>0</v>
      </c>
      <c r="W76" s="1043"/>
      <c r="X76" s="530">
        <f>'[7]PTBA 16-17-18'!Z72</f>
        <v>0</v>
      </c>
      <c r="Y76" s="709">
        <f>'[7]PTBA 16-17-18'!AA72</f>
        <v>0</v>
      </c>
      <c r="Z76" s="530"/>
      <c r="AA76" s="298"/>
      <c r="AB76" s="1059"/>
      <c r="AC76" s="298"/>
      <c r="AD76" s="1071"/>
      <c r="AE76" s="1071"/>
      <c r="AF76" s="1043"/>
      <c r="AG76" s="530"/>
      <c r="AH76" s="709"/>
      <c r="AI76" s="530"/>
      <c r="AJ76" s="298"/>
      <c r="AK76" s="298"/>
      <c r="AL76" s="298"/>
      <c r="AM76" s="298"/>
      <c r="AN76" s="298"/>
      <c r="AO76" s="298"/>
      <c r="AP76" s="531">
        <f t="shared" si="50"/>
        <v>0</v>
      </c>
      <c r="AQ76" s="1045"/>
      <c r="AS76" s="398"/>
      <c r="AT76" s="1051"/>
      <c r="AU76" s="524"/>
      <c r="AV76" s="524"/>
      <c r="AW76" s="308"/>
      <c r="BD76" s="298"/>
    </row>
    <row r="77" spans="1:60" ht="15" customHeight="1" x14ac:dyDescent="0.35">
      <c r="C77" s="1039"/>
      <c r="D77" s="534"/>
      <c r="E77" s="534"/>
      <c r="F77" s="1040" t="s">
        <v>1158</v>
      </c>
      <c r="G77" s="1041"/>
      <c r="H77" s="1042"/>
      <c r="I77" s="530">
        <v>151500</v>
      </c>
      <c r="J77" s="530">
        <f t="shared" si="51"/>
        <v>15708.259166781356</v>
      </c>
      <c r="K77" s="1043"/>
      <c r="L77" s="516">
        <v>143088</v>
      </c>
      <c r="M77" s="516">
        <f t="shared" si="54"/>
        <v>14836.061964728782</v>
      </c>
      <c r="N77" s="1157" t="e">
        <f>L77/AQ77</f>
        <v>#DIV/0!</v>
      </c>
      <c r="O77" s="530">
        <v>100000</v>
      </c>
      <c r="P77" s="530">
        <f t="shared" si="52"/>
        <v>10368.48789886558</v>
      </c>
      <c r="Q77" s="1043"/>
      <c r="R77" s="530">
        <v>99600</v>
      </c>
      <c r="S77" s="709">
        <f>R77/$A$1</f>
        <v>10327.013947270119</v>
      </c>
      <c r="T77" s="1054"/>
      <c r="U77" s="747">
        <f>'[7]PTBA 16-17-18'!X73</f>
        <v>400000</v>
      </c>
      <c r="V77" s="530">
        <f t="shared" si="56"/>
        <v>41473.95159546232</v>
      </c>
      <c r="W77" s="1043"/>
      <c r="X77" s="530">
        <f>'[7]PTBA 16-17-18'!Z73</f>
        <v>94992</v>
      </c>
      <c r="Y77" s="709">
        <f>'[7]PTBA 16-17-18'!AA73</f>
        <v>9849.2340248903929</v>
      </c>
      <c r="Z77" s="530"/>
      <c r="AA77" s="298"/>
      <c r="AB77" s="1048"/>
      <c r="AC77" s="298"/>
      <c r="AD77" s="1071"/>
      <c r="AE77" s="1071"/>
      <c r="AF77" s="1043"/>
      <c r="AG77" s="530"/>
      <c r="AH77" s="709"/>
      <c r="AI77" s="530"/>
      <c r="AJ77" s="298"/>
      <c r="AK77" s="298"/>
      <c r="AL77" s="298"/>
      <c r="AM77" s="298"/>
      <c r="AN77" s="298"/>
      <c r="AO77" s="298"/>
      <c r="AP77" s="531">
        <f t="shared" si="50"/>
        <v>0</v>
      </c>
      <c r="AQ77" s="1046"/>
      <c r="AS77" s="398"/>
      <c r="AT77" s="1055"/>
      <c r="AU77" s="524"/>
      <c r="AV77" s="524"/>
      <c r="AW77" s="308"/>
      <c r="BB77" s="549"/>
      <c r="BC77" s="549"/>
      <c r="BD77" s="549"/>
    </row>
    <row r="78" spans="1:60" ht="15" customHeight="1" x14ac:dyDescent="0.35">
      <c r="C78" s="1025" t="s">
        <v>1159</v>
      </c>
      <c r="D78" s="1026"/>
      <c r="E78" s="1026"/>
      <c r="F78" s="1026"/>
      <c r="G78" s="1026"/>
      <c r="H78" s="1027"/>
      <c r="I78" s="535"/>
      <c r="J78" s="516">
        <f t="shared" si="51"/>
        <v>0</v>
      </c>
      <c r="K78" s="391"/>
      <c r="L78" s="535"/>
      <c r="M78" s="535">
        <f t="shared" si="54"/>
        <v>0</v>
      </c>
      <c r="N78" s="517"/>
      <c r="O78" s="519">
        <f>250000+800000</f>
        <v>1050000</v>
      </c>
      <c r="P78" s="519">
        <f t="shared" si="52"/>
        <v>108869.12293808859</v>
      </c>
      <c r="Q78" s="388">
        <f>O78/$AQ78</f>
        <v>0.51842439494327908</v>
      </c>
      <c r="R78" s="519">
        <f>526440*(1+1%)</f>
        <v>531704.4</v>
      </c>
      <c r="S78" s="710">
        <f>R78/$A$1</f>
        <v>55129.706371735847</v>
      </c>
      <c r="T78" s="571">
        <f t="shared" ref="T78:T79" si="57">R78/O78</f>
        <v>0.50638514285714287</v>
      </c>
      <c r="U78" s="747">
        <f>'[7]PTBA 16-17-18'!X74</f>
        <v>0</v>
      </c>
      <c r="V78" s="530">
        <f t="shared" si="56"/>
        <v>0</v>
      </c>
      <c r="W78" s="744">
        <f>U78/$AQ78</f>
        <v>0</v>
      </c>
      <c r="X78" s="530">
        <f>'[7]PTBA 16-17-18'!Z74</f>
        <v>0</v>
      </c>
      <c r="Y78" s="709">
        <f>'[7]PTBA 16-17-18'!AA74</f>
        <v>0</v>
      </c>
      <c r="Z78" s="530"/>
      <c r="AA78" s="298"/>
      <c r="AB78" s="391">
        <f>(I78+O78+U78)/AQ78</f>
        <v>0.51842439494327908</v>
      </c>
      <c r="AC78" s="298"/>
      <c r="AD78" s="1072"/>
      <c r="AE78" s="1072"/>
      <c r="AF78" s="744"/>
      <c r="AG78" s="530"/>
      <c r="AH78" s="709"/>
      <c r="AI78" s="530"/>
      <c r="AJ78" s="298"/>
      <c r="AK78" s="298"/>
      <c r="AL78" s="298"/>
      <c r="AM78" s="298"/>
      <c r="AN78" s="298"/>
      <c r="AO78" s="298"/>
      <c r="AP78" s="519">
        <v>210000</v>
      </c>
      <c r="AQ78" s="536">
        <f>$A$1*AT78</f>
        <v>2025367.6529147143</v>
      </c>
      <c r="AS78" s="398"/>
      <c r="AT78" s="521">
        <v>210000</v>
      </c>
      <c r="AU78" s="522"/>
      <c r="AV78" s="522"/>
      <c r="BB78" s="6"/>
      <c r="BC78" s="6"/>
      <c r="BD78" s="6"/>
    </row>
    <row r="79" spans="1:60" s="537" customFormat="1" ht="23.25" customHeight="1" x14ac:dyDescent="0.35">
      <c r="C79" s="1028" t="s">
        <v>1160</v>
      </c>
      <c r="D79" s="1029"/>
      <c r="E79" s="1029"/>
      <c r="F79" s="1029"/>
      <c r="G79" s="1029"/>
      <c r="H79" s="1030"/>
      <c r="I79" s="538">
        <f>SUM(I71:I78)</f>
        <v>2061500</v>
      </c>
      <c r="J79" s="538">
        <f>SUM(J71:J78)</f>
        <v>213746.37803511394</v>
      </c>
      <c r="K79" s="512">
        <f>I79/$AQ79</f>
        <v>0.36365463884035837</v>
      </c>
      <c r="L79" s="514">
        <f>SUM(L71:L78)</f>
        <v>1879341.71</v>
      </c>
      <c r="M79" s="514">
        <f t="shared" si="54"/>
        <v>194859.31777968348</v>
      </c>
      <c r="N79" s="512">
        <f>L79/$I79</f>
        <v>0.91163798690274067</v>
      </c>
      <c r="O79" s="514">
        <f>SUM(O71:O78)</f>
        <v>1350000</v>
      </c>
      <c r="P79" s="538">
        <f>SUM(P71:P78)</f>
        <v>139974.58663468534</v>
      </c>
      <c r="Q79" s="512">
        <f>O79/$AQ79</f>
        <v>0.23814395461289536</v>
      </c>
      <c r="R79" s="514">
        <f>SUM(R71:R78)</f>
        <v>831304.4</v>
      </c>
      <c r="S79" s="707">
        <f>R79/$A$1</f>
        <v>86193.696116737119</v>
      </c>
      <c r="T79" s="509">
        <f t="shared" si="57"/>
        <v>0.61578103703703702</v>
      </c>
      <c r="U79" s="514">
        <f>SUM(U71:U78)</f>
        <v>600000</v>
      </c>
      <c r="V79" s="514">
        <f>SUM(V71:V78)</f>
        <v>62210.92739319348</v>
      </c>
      <c r="W79" s="512">
        <f>U79/$AQ79</f>
        <v>0.10584175760573128</v>
      </c>
      <c r="X79" s="514">
        <f>SUM(X71:X78)</f>
        <v>191792</v>
      </c>
      <c r="Y79" s="707">
        <f>SUM(Y71:Y78)</f>
        <v>19885.930310992277</v>
      </c>
      <c r="Z79" s="539"/>
      <c r="AA79" s="298"/>
      <c r="AB79" s="512" t="e">
        <f>W79+#REF!</f>
        <v>#REF!</v>
      </c>
      <c r="AC79" s="298"/>
      <c r="AD79" s="514">
        <f>SUM(AD71:AD78)</f>
        <v>850000</v>
      </c>
      <c r="AE79" s="514">
        <f>SUM(AE71:AE78)</f>
        <v>88132.14714035744</v>
      </c>
      <c r="AF79" s="512">
        <f>AD79/$AQ79</f>
        <v>0.14994248994145265</v>
      </c>
      <c r="AG79" s="514">
        <f>SUM(AG71:AG78)</f>
        <v>0</v>
      </c>
      <c r="AH79" s="707">
        <f>SUM(AH71:AH78)</f>
        <v>0</v>
      </c>
      <c r="AI79" s="539"/>
      <c r="AJ79" s="298"/>
      <c r="AK79" s="298"/>
      <c r="AL79" s="298"/>
      <c r="AM79" s="298"/>
      <c r="AN79" s="298"/>
      <c r="AO79" s="298"/>
      <c r="AP79" s="540">
        <f t="shared" si="50"/>
        <v>587773</v>
      </c>
      <c r="AQ79" s="539">
        <f>SUM(AQ71:AQ78)</f>
        <v>5668840.1021744777</v>
      </c>
      <c r="AT79" s="541">
        <f>SUM(AT71:AT78)</f>
        <v>587773</v>
      </c>
      <c r="AU79" s="542"/>
      <c r="AV79" s="542"/>
      <c r="BB79" s="556"/>
      <c r="BC79" s="556"/>
      <c r="BD79" s="556"/>
    </row>
    <row r="80" spans="1:60" s="6" customFormat="1" x14ac:dyDescent="0.35">
      <c r="F80" s="265"/>
      <c r="G80" s="265"/>
      <c r="I80" s="578"/>
      <c r="J80" s="543"/>
      <c r="K80" s="544"/>
      <c r="L80" s="543"/>
      <c r="M80" s="543"/>
      <c r="N80" s="543"/>
      <c r="O80" s="578"/>
      <c r="P80" s="543"/>
      <c r="Q80" s="543"/>
      <c r="R80" s="543"/>
      <c r="S80" s="713"/>
      <c r="T80" s="543"/>
      <c r="U80" s="578"/>
      <c r="V80" s="543"/>
      <c r="W80" s="543"/>
      <c r="X80" s="578"/>
      <c r="Y80" s="713"/>
      <c r="Z80" s="543"/>
      <c r="AA80" s="298"/>
      <c r="AB80" s="543"/>
      <c r="AC80" s="298"/>
      <c r="AD80" s="578"/>
      <c r="AE80" s="543"/>
      <c r="AF80" s="543"/>
      <c r="AG80" s="578"/>
      <c r="AH80" s="713"/>
      <c r="AI80" s="543"/>
      <c r="AJ80" s="298"/>
      <c r="AK80" s="298"/>
      <c r="AL80" s="298"/>
      <c r="AM80" s="298"/>
      <c r="AN80" s="298"/>
      <c r="AO80" s="298"/>
      <c r="AP80" s="545"/>
      <c r="AQ80" s="578"/>
      <c r="AS80" s="543"/>
      <c r="AT80" s="543"/>
      <c r="AU80" s="543"/>
      <c r="AV80" s="543"/>
      <c r="BB80"/>
      <c r="BC80"/>
      <c r="BD80"/>
      <c r="BE80" s="537"/>
      <c r="BF80" s="537"/>
      <c r="BG80" s="537"/>
      <c r="BH80" s="537"/>
    </row>
    <row r="81" spans="3:60" s="6" customFormat="1" x14ac:dyDescent="0.35">
      <c r="F81" s="265"/>
      <c r="G81" s="265"/>
      <c r="I81" s="543"/>
      <c r="J81" s="543"/>
      <c r="K81" s="544"/>
      <c r="L81" s="543"/>
      <c r="M81" s="543"/>
      <c r="N81" s="543"/>
      <c r="O81" s="543"/>
      <c r="P81" s="543"/>
      <c r="Q81" s="543"/>
      <c r="R81" s="543"/>
      <c r="S81" s="713"/>
      <c r="T81" s="543"/>
      <c r="U81" s="543"/>
      <c r="V81" s="543"/>
      <c r="W81" s="543"/>
      <c r="X81" s="543"/>
      <c r="Y81" s="713"/>
      <c r="Z81" s="543"/>
      <c r="AA81" s="298"/>
      <c r="AB81" s="543"/>
      <c r="AC81" s="298"/>
      <c r="AD81" s="543"/>
      <c r="AE81" s="543"/>
      <c r="AF81" s="543"/>
      <c r="AG81" s="543"/>
      <c r="AH81" s="713"/>
      <c r="AI81" s="543"/>
      <c r="AJ81" s="298"/>
      <c r="AK81" s="298"/>
      <c r="AL81" s="298"/>
      <c r="AM81" s="298"/>
      <c r="AN81" s="298"/>
      <c r="AO81" s="298"/>
      <c r="AP81" s="545"/>
      <c r="AQ81" s="543"/>
      <c r="AS81" s="543"/>
      <c r="AT81" s="543"/>
      <c r="AU81" s="543"/>
      <c r="AV81" s="543"/>
      <c r="BB81"/>
      <c r="BC81"/>
      <c r="BD81"/>
      <c r="BE81" s="537"/>
      <c r="BF81" s="537"/>
      <c r="BG81" s="537"/>
      <c r="BH81" s="537"/>
    </row>
    <row r="82" spans="3:60" x14ac:dyDescent="0.35">
      <c r="C82" s="1031" t="s">
        <v>1152</v>
      </c>
      <c r="D82" s="1032"/>
      <c r="E82" s="1032"/>
      <c r="F82" s="1032"/>
      <c r="G82" s="1032"/>
      <c r="H82" s="1033"/>
      <c r="I82" s="546"/>
      <c r="J82" s="546"/>
      <c r="K82" s="391">
        <f t="shared" ref="K82:K88" si="58">I82/$AQ82</f>
        <v>0</v>
      </c>
      <c r="L82" s="546"/>
      <c r="M82" s="546">
        <f t="shared" si="54"/>
        <v>0</v>
      </c>
      <c r="N82" s="517"/>
      <c r="O82" s="546"/>
      <c r="P82" s="546"/>
      <c r="Q82" s="391">
        <f t="shared" ref="Q82:Q88" si="59">O82/$AQ82</f>
        <v>0</v>
      </c>
      <c r="R82" s="546">
        <f t="shared" si="55"/>
        <v>0</v>
      </c>
      <c r="S82" s="714">
        <f t="shared" ref="S82:S88" si="60">R82/$A$1</f>
        <v>0</v>
      </c>
      <c r="T82" s="517">
        <f t="shared" ref="T82:T88" si="61">R82/$AQ82</f>
        <v>0</v>
      </c>
      <c r="U82" s="546"/>
      <c r="V82" s="546"/>
      <c r="W82" s="391">
        <f t="shared" ref="W82:W88" si="62">U82/$AQ82</f>
        <v>0</v>
      </c>
      <c r="X82" s="546"/>
      <c r="Y82" s="714"/>
      <c r="Z82" s="546"/>
      <c r="AA82" s="298"/>
      <c r="AB82" s="391">
        <f t="shared" ref="AB82:AB87" si="63">W82+T82</f>
        <v>0</v>
      </c>
      <c r="AC82" s="298"/>
      <c r="AD82" s="546"/>
      <c r="AE82" s="546"/>
      <c r="AF82" s="744"/>
      <c r="AG82" s="546"/>
      <c r="AH82" s="714"/>
      <c r="AI82" s="546"/>
      <c r="AJ82" s="298"/>
      <c r="AK82" s="298"/>
      <c r="AL82" s="298"/>
      <c r="AM82" s="298"/>
      <c r="AN82" s="298"/>
      <c r="AO82" s="298"/>
      <c r="AP82" s="547">
        <f t="shared" ref="AP82:AP88" si="64">AT82</f>
        <v>240000</v>
      </c>
      <c r="AQ82" s="546">
        <f t="shared" ref="AQ82:AQ87" si="65">$A$1*AT82</f>
        <v>2314705.889045388</v>
      </c>
      <c r="AS82" s="398"/>
      <c r="AT82" s="546">
        <f>60000+45000*4</f>
        <v>240000</v>
      </c>
      <c r="AU82" s="548"/>
      <c r="AV82" s="548"/>
      <c r="BE82" s="537"/>
      <c r="BF82" s="537"/>
      <c r="BG82" s="537"/>
      <c r="BH82" s="537"/>
    </row>
    <row r="83" spans="3:60" ht="15" customHeight="1" x14ac:dyDescent="0.35">
      <c r="C83" s="1031" t="s">
        <v>1161</v>
      </c>
      <c r="D83" s="1032"/>
      <c r="E83" s="1032"/>
      <c r="F83" s="1032"/>
      <c r="G83" s="1032"/>
      <c r="H83" s="1033"/>
      <c r="I83" s="546"/>
      <c r="J83" s="546"/>
      <c r="K83" s="391">
        <f t="shared" si="58"/>
        <v>0</v>
      </c>
      <c r="L83" s="546"/>
      <c r="M83" s="546">
        <f t="shared" si="54"/>
        <v>0</v>
      </c>
      <c r="N83" s="517"/>
      <c r="O83" s="546"/>
      <c r="P83" s="546"/>
      <c r="Q83" s="391">
        <f t="shared" si="59"/>
        <v>0</v>
      </c>
      <c r="R83" s="546">
        <f t="shared" si="55"/>
        <v>0</v>
      </c>
      <c r="S83" s="714">
        <f t="shared" si="60"/>
        <v>0</v>
      </c>
      <c r="T83" s="517">
        <f t="shared" si="61"/>
        <v>0</v>
      </c>
      <c r="U83" s="546"/>
      <c r="V83" s="546"/>
      <c r="W83" s="391">
        <f t="shared" si="62"/>
        <v>0</v>
      </c>
      <c r="X83" s="546"/>
      <c r="Y83" s="714"/>
      <c r="Z83" s="546"/>
      <c r="AA83" s="298"/>
      <c r="AB83" s="391">
        <f t="shared" si="63"/>
        <v>0</v>
      </c>
      <c r="AC83" s="298"/>
      <c r="AD83" s="546"/>
      <c r="AE83" s="546"/>
      <c r="AF83" s="744"/>
      <c r="AG83" s="546"/>
      <c r="AH83" s="714"/>
      <c r="AI83" s="546"/>
      <c r="AJ83" s="298"/>
      <c r="AK83" s="298"/>
      <c r="AL83" s="298"/>
      <c r="AM83" s="298"/>
      <c r="AN83" s="298"/>
      <c r="AO83" s="298"/>
      <c r="AP83" s="547">
        <f t="shared" si="64"/>
        <v>200000</v>
      </c>
      <c r="AQ83" s="546">
        <f t="shared" si="65"/>
        <v>1928921.5742044898</v>
      </c>
      <c r="AS83" s="398"/>
      <c r="AT83" s="546">
        <f>75000+125000</f>
        <v>200000</v>
      </c>
      <c r="AU83" s="548"/>
      <c r="AV83" s="548"/>
      <c r="BE83" s="537"/>
      <c r="BF83" s="537"/>
      <c r="BG83" s="537"/>
      <c r="BH83" s="537"/>
    </row>
    <row r="84" spans="3:60" ht="15" customHeight="1" x14ac:dyDescent="0.35">
      <c r="C84" s="1031" t="s">
        <v>697</v>
      </c>
      <c r="D84" s="1032"/>
      <c r="E84" s="1032"/>
      <c r="F84" s="1032"/>
      <c r="G84" s="1032"/>
      <c r="H84" s="1033"/>
      <c r="I84" s="546"/>
      <c r="J84" s="546"/>
      <c r="K84" s="391">
        <f t="shared" si="58"/>
        <v>0</v>
      </c>
      <c r="L84" s="546"/>
      <c r="M84" s="546">
        <f t="shared" si="54"/>
        <v>0</v>
      </c>
      <c r="N84" s="517"/>
      <c r="O84" s="546"/>
      <c r="P84" s="546"/>
      <c r="Q84" s="391">
        <f t="shared" si="59"/>
        <v>0</v>
      </c>
      <c r="R84" s="546">
        <f t="shared" si="55"/>
        <v>0</v>
      </c>
      <c r="S84" s="714">
        <f t="shared" si="60"/>
        <v>0</v>
      </c>
      <c r="T84" s="517">
        <f t="shared" si="61"/>
        <v>0</v>
      </c>
      <c r="U84" s="546"/>
      <c r="V84" s="546"/>
      <c r="W84" s="391">
        <f t="shared" si="62"/>
        <v>0</v>
      </c>
      <c r="X84" s="546"/>
      <c r="Y84" s="714"/>
      <c r="Z84" s="546"/>
      <c r="AA84" s="298"/>
      <c r="AB84" s="391">
        <f t="shared" si="63"/>
        <v>0</v>
      </c>
      <c r="AC84" s="298"/>
      <c r="AD84" s="546"/>
      <c r="AE84" s="546"/>
      <c r="AF84" s="744"/>
      <c r="AG84" s="546"/>
      <c r="AH84" s="714"/>
      <c r="AI84" s="546"/>
      <c r="AJ84" s="298"/>
      <c r="AK84" s="298"/>
      <c r="AL84" s="298"/>
      <c r="AM84" s="298"/>
      <c r="AN84" s="298"/>
      <c r="AO84" s="298"/>
      <c r="AP84" s="547">
        <f t="shared" si="64"/>
        <v>150000</v>
      </c>
      <c r="AQ84" s="546">
        <f t="shared" si="65"/>
        <v>1446691.1806533674</v>
      </c>
      <c r="AS84" s="398"/>
      <c r="AT84" s="546">
        <f>100000+50000</f>
        <v>150000</v>
      </c>
      <c r="AU84" s="548"/>
      <c r="AV84" s="548"/>
    </row>
    <row r="85" spans="3:60" ht="15" customHeight="1" x14ac:dyDescent="0.35">
      <c r="C85" s="1031" t="s">
        <v>1162</v>
      </c>
      <c r="D85" s="1032"/>
      <c r="E85" s="1032"/>
      <c r="F85" s="1032"/>
      <c r="G85" s="1032"/>
      <c r="H85" s="1033"/>
      <c r="I85" s="546"/>
      <c r="J85" s="546"/>
      <c r="K85" s="391">
        <f t="shared" si="58"/>
        <v>0</v>
      </c>
      <c r="L85" s="546"/>
      <c r="M85" s="546">
        <f t="shared" si="54"/>
        <v>0</v>
      </c>
      <c r="N85" s="517"/>
      <c r="O85" s="546"/>
      <c r="P85" s="546"/>
      <c r="Q85" s="391">
        <f t="shared" si="59"/>
        <v>0</v>
      </c>
      <c r="R85" s="546">
        <f t="shared" si="55"/>
        <v>0</v>
      </c>
      <c r="S85" s="714">
        <f t="shared" si="60"/>
        <v>0</v>
      </c>
      <c r="T85" s="517">
        <f t="shared" si="61"/>
        <v>0</v>
      </c>
      <c r="U85" s="546"/>
      <c r="V85" s="546"/>
      <c r="W85" s="391">
        <f t="shared" si="62"/>
        <v>0</v>
      </c>
      <c r="X85" s="546"/>
      <c r="Y85" s="714"/>
      <c r="Z85" s="546"/>
      <c r="AA85" s="298"/>
      <c r="AB85" s="391">
        <f t="shared" si="63"/>
        <v>0</v>
      </c>
      <c r="AC85" s="298"/>
      <c r="AD85" s="546"/>
      <c r="AE85" s="546"/>
      <c r="AF85" s="744"/>
      <c r="AG85" s="546"/>
      <c r="AH85" s="714"/>
      <c r="AI85" s="546"/>
      <c r="AJ85" s="298"/>
      <c r="AK85" s="298"/>
      <c r="AL85" s="298"/>
      <c r="AM85" s="298"/>
      <c r="AN85" s="298"/>
      <c r="AO85" s="298"/>
      <c r="AP85" s="547">
        <f t="shared" si="64"/>
        <v>24000</v>
      </c>
      <c r="AQ85" s="546">
        <f t="shared" si="65"/>
        <v>231470.58890453877</v>
      </c>
      <c r="AS85" s="398"/>
      <c r="AT85" s="546">
        <v>24000</v>
      </c>
      <c r="AU85" s="548"/>
      <c r="AV85" s="548"/>
    </row>
    <row r="86" spans="3:60" x14ac:dyDescent="0.35">
      <c r="C86" s="1031" t="s">
        <v>1163</v>
      </c>
      <c r="D86" s="1032"/>
      <c r="E86" s="1032"/>
      <c r="F86" s="1032"/>
      <c r="G86" s="1032"/>
      <c r="H86" s="1033"/>
      <c r="I86" s="546"/>
      <c r="J86" s="546"/>
      <c r="K86" s="391">
        <f t="shared" si="58"/>
        <v>0</v>
      </c>
      <c r="L86" s="546"/>
      <c r="M86" s="546">
        <f t="shared" si="54"/>
        <v>0</v>
      </c>
      <c r="N86" s="517"/>
      <c r="O86" s="546"/>
      <c r="P86" s="546"/>
      <c r="Q86" s="391">
        <f t="shared" si="59"/>
        <v>0</v>
      </c>
      <c r="R86" s="546">
        <f t="shared" si="55"/>
        <v>0</v>
      </c>
      <c r="S86" s="714">
        <f t="shared" si="60"/>
        <v>0</v>
      </c>
      <c r="T86" s="517">
        <f t="shared" si="61"/>
        <v>0</v>
      </c>
      <c r="U86" s="546"/>
      <c r="V86" s="546"/>
      <c r="W86" s="391">
        <f t="shared" si="62"/>
        <v>0</v>
      </c>
      <c r="X86" s="546"/>
      <c r="Y86" s="714"/>
      <c r="Z86" s="546"/>
      <c r="AA86" s="298"/>
      <c r="AB86" s="391">
        <f t="shared" si="63"/>
        <v>0</v>
      </c>
      <c r="AC86" s="298"/>
      <c r="AD86" s="546"/>
      <c r="AE86" s="546"/>
      <c r="AF86" s="744"/>
      <c r="AG86" s="546"/>
      <c r="AH86" s="714"/>
      <c r="AI86" s="546"/>
      <c r="AJ86" s="298"/>
      <c r="AK86" s="298"/>
      <c r="AL86" s="298"/>
      <c r="AM86" s="298"/>
      <c r="AN86" s="298"/>
      <c r="AO86" s="298"/>
      <c r="AP86" s="547">
        <f t="shared" si="64"/>
        <v>110000</v>
      </c>
      <c r="AQ86" s="546">
        <f t="shared" si="65"/>
        <v>1060906.8658124695</v>
      </c>
      <c r="AS86" s="398"/>
      <c r="AT86" s="546">
        <f>30000+20000*4</f>
        <v>110000</v>
      </c>
      <c r="AU86" s="548"/>
      <c r="AV86" s="548"/>
    </row>
    <row r="87" spans="3:60" x14ac:dyDescent="0.35">
      <c r="C87" s="1031" t="s">
        <v>1164</v>
      </c>
      <c r="D87" s="1032"/>
      <c r="E87" s="1032"/>
      <c r="F87" s="1032"/>
      <c r="G87" s="1032"/>
      <c r="H87" s="1033"/>
      <c r="I87" s="546"/>
      <c r="J87" s="546"/>
      <c r="K87" s="391">
        <f t="shared" si="58"/>
        <v>0</v>
      </c>
      <c r="L87" s="546"/>
      <c r="M87" s="546">
        <f t="shared" si="54"/>
        <v>0</v>
      </c>
      <c r="N87" s="517"/>
      <c r="O87" s="546"/>
      <c r="P87" s="546"/>
      <c r="Q87" s="391">
        <f t="shared" si="59"/>
        <v>0</v>
      </c>
      <c r="R87" s="546">
        <f t="shared" si="55"/>
        <v>0</v>
      </c>
      <c r="S87" s="714">
        <f t="shared" si="60"/>
        <v>0</v>
      </c>
      <c r="T87" s="517">
        <f t="shared" si="61"/>
        <v>0</v>
      </c>
      <c r="U87" s="546"/>
      <c r="V87" s="546"/>
      <c r="W87" s="391">
        <f t="shared" si="62"/>
        <v>0</v>
      </c>
      <c r="X87" s="546"/>
      <c r="Y87" s="714"/>
      <c r="Z87" s="546"/>
      <c r="AA87" s="298"/>
      <c r="AB87" s="391">
        <f t="shared" si="63"/>
        <v>0</v>
      </c>
      <c r="AC87" s="298"/>
      <c r="AD87" s="546"/>
      <c r="AE87" s="546"/>
      <c r="AF87" s="744"/>
      <c r="AG87" s="546"/>
      <c r="AH87" s="714"/>
      <c r="AI87" s="546"/>
      <c r="AJ87" s="298"/>
      <c r="AK87" s="298"/>
      <c r="AL87" s="298"/>
      <c r="AM87" s="298"/>
      <c r="AN87" s="298"/>
      <c r="AO87" s="298"/>
      <c r="AP87" s="547">
        <f t="shared" si="64"/>
        <v>57060</v>
      </c>
      <c r="AQ87" s="546">
        <f t="shared" si="65"/>
        <v>550321.32512054092</v>
      </c>
      <c r="AS87" s="398"/>
      <c r="AT87" s="546">
        <v>57060</v>
      </c>
      <c r="AU87" s="548"/>
      <c r="AV87" s="548"/>
    </row>
    <row r="88" spans="3:60" s="549" customFormat="1" ht="30.75" customHeight="1" x14ac:dyDescent="0.35">
      <c r="C88" s="1028" t="s">
        <v>1165</v>
      </c>
      <c r="D88" s="1029"/>
      <c r="E88" s="1029"/>
      <c r="F88" s="1029"/>
      <c r="G88" s="1029"/>
      <c r="H88" s="1030"/>
      <c r="I88" s="514">
        <f>SUM(I82:I87)</f>
        <v>0</v>
      </c>
      <c r="J88" s="514">
        <f>SUM(J82:J87)</f>
        <v>0</v>
      </c>
      <c r="K88" s="509">
        <f t="shared" si="58"/>
        <v>0</v>
      </c>
      <c r="L88" s="514">
        <f>SUM(L82:L87)</f>
        <v>0</v>
      </c>
      <c r="M88" s="514">
        <f t="shared" si="54"/>
        <v>0</v>
      </c>
      <c r="N88" s="509"/>
      <c r="O88" s="514">
        <f>SUM(O82:O87)</f>
        <v>0</v>
      </c>
      <c r="P88" s="514"/>
      <c r="Q88" s="509">
        <f t="shared" si="59"/>
        <v>0</v>
      </c>
      <c r="R88" s="514">
        <f t="shared" si="55"/>
        <v>0</v>
      </c>
      <c r="S88" s="707">
        <f t="shared" si="60"/>
        <v>0</v>
      </c>
      <c r="T88" s="509">
        <f t="shared" si="61"/>
        <v>0</v>
      </c>
      <c r="U88" s="540">
        <f>SUM(U82:U87)</f>
        <v>0</v>
      </c>
      <c r="V88" s="540">
        <f>SUM(V82:V87)</f>
        <v>0</v>
      </c>
      <c r="W88" s="888">
        <f t="shared" si="62"/>
        <v>0</v>
      </c>
      <c r="X88" s="540">
        <f>SUM(X82:X87)</f>
        <v>0</v>
      </c>
      <c r="Y88" s="886">
        <f>SUM(Y82:Y87)</f>
        <v>0</v>
      </c>
      <c r="Z88" s="540"/>
      <c r="AA88" s="298"/>
      <c r="AB88" s="512" t="e">
        <f>W88+#REF!</f>
        <v>#REF!</v>
      </c>
      <c r="AC88" s="298"/>
      <c r="AD88" s="540">
        <f>SUM(AD82:AD87)</f>
        <v>0</v>
      </c>
      <c r="AE88" s="540">
        <f>SUM(AE82:AE87)</f>
        <v>0</v>
      </c>
      <c r="AF88" s="888">
        <f t="shared" ref="AF88" si="66">AD88/$AQ88</f>
        <v>0</v>
      </c>
      <c r="AG88" s="540">
        <f>SUM(AG82:AG87)</f>
        <v>0</v>
      </c>
      <c r="AH88" s="886">
        <f>SUM(AH82:AH87)</f>
        <v>0</v>
      </c>
      <c r="AI88" s="540"/>
      <c r="AJ88" s="298"/>
      <c r="AK88" s="298"/>
      <c r="AL88" s="298"/>
      <c r="AM88" s="298"/>
      <c r="AN88" s="298"/>
      <c r="AO88" s="298"/>
      <c r="AP88" s="540">
        <f t="shared" si="64"/>
        <v>781060</v>
      </c>
      <c r="AQ88" s="514">
        <f>SUM(AQ82:AQ87)</f>
        <v>7533017.4237407949</v>
      </c>
      <c r="AT88" s="514">
        <f>SUM(AT82:AT87)</f>
        <v>781060</v>
      </c>
      <c r="AU88" s="515"/>
      <c r="AV88" s="515"/>
      <c r="BB88"/>
      <c r="BC88"/>
      <c r="BD88"/>
    </row>
    <row r="89" spans="3:60" s="6" customFormat="1" x14ac:dyDescent="0.35">
      <c r="F89" s="265"/>
      <c r="G89" s="265"/>
      <c r="H89" s="550"/>
      <c r="I89" s="551"/>
      <c r="J89" s="551"/>
      <c r="K89" s="544"/>
      <c r="L89" s="551"/>
      <c r="M89" s="551"/>
      <c r="N89" s="551"/>
      <c r="O89" s="551"/>
      <c r="P89" s="551"/>
      <c r="Q89" s="551"/>
      <c r="R89" s="551"/>
      <c r="S89" s="715"/>
      <c r="T89" s="551"/>
      <c r="U89" s="552"/>
      <c r="V89" s="552"/>
      <c r="W89" s="552"/>
      <c r="X89" s="552"/>
      <c r="Y89" s="889"/>
      <c r="Z89" s="552"/>
      <c r="AA89" s="298"/>
      <c r="AB89" s="551"/>
      <c r="AC89" s="298"/>
      <c r="AD89" s="552"/>
      <c r="AE89" s="552"/>
      <c r="AF89" s="552"/>
      <c r="AG89" s="552"/>
      <c r="AH89" s="889"/>
      <c r="AI89" s="552"/>
      <c r="AJ89" s="298"/>
      <c r="AK89" s="298"/>
      <c r="AL89" s="298"/>
      <c r="AM89" s="298"/>
      <c r="AN89" s="298"/>
      <c r="AO89" s="298"/>
      <c r="AP89" s="552"/>
      <c r="AQ89" s="551"/>
      <c r="AT89" s="551"/>
      <c r="AU89" s="551"/>
      <c r="AV89" s="551"/>
      <c r="BB89"/>
      <c r="BC89"/>
      <c r="BD89"/>
    </row>
    <row r="90" spans="3:60" s="556" customFormat="1" ht="26.25" customHeight="1" x14ac:dyDescent="0.35">
      <c r="C90" s="1056" t="s">
        <v>1166</v>
      </c>
      <c r="D90" s="1057"/>
      <c r="E90" s="1057"/>
      <c r="F90" s="1057"/>
      <c r="G90" s="1057"/>
      <c r="H90" s="1058"/>
      <c r="I90" s="553">
        <f>I69+I79+I88</f>
        <v>25431500</v>
      </c>
      <c r="J90" s="553">
        <f>J69+J79+J88</f>
        <v>2782020.8305841186</v>
      </c>
      <c r="K90" s="554">
        <f>I90/$AQ90</f>
        <v>0.2644796389167503</v>
      </c>
      <c r="L90" s="555">
        <f>L69+L79+L88</f>
        <v>24915834.850000001</v>
      </c>
      <c r="M90" s="555">
        <f t="shared" si="54"/>
        <v>2583395.3213235834</v>
      </c>
      <c r="N90" s="554">
        <f>L90/$I90</f>
        <v>0.97972336865698062</v>
      </c>
      <c r="O90" s="553">
        <f>O69+O79+O88</f>
        <v>39910000</v>
      </c>
      <c r="P90" s="553"/>
      <c r="Q90" s="554">
        <f>O90/$AQ90</f>
        <v>0.41505150656341561</v>
      </c>
      <c r="R90" s="555">
        <f>R69+R79+R88</f>
        <v>36304141.5</v>
      </c>
      <c r="S90" s="719">
        <f>R90/$A$1</f>
        <v>3764190.5182145373</v>
      </c>
      <c r="T90" s="554">
        <f t="shared" ref="T90" si="67">R90/O90</f>
        <v>0.90965025056376847</v>
      </c>
      <c r="U90" s="890">
        <f>U69+U79+U88</f>
        <v>16080053</v>
      </c>
      <c r="V90" s="890">
        <f>V69+V79+V88</f>
        <v>1667258.3494361721</v>
      </c>
      <c r="W90" s="891">
        <f>U90/$AQ90</f>
        <v>0.16722751749610551</v>
      </c>
      <c r="X90" s="890">
        <f>X69+X79+X88</f>
        <v>12858212</v>
      </c>
      <c r="Y90" s="892">
        <f>Y69+Y79+Y88</f>
        <v>1333202.1552304819</v>
      </c>
      <c r="Z90" s="890"/>
      <c r="AA90" s="298"/>
      <c r="AB90" s="554" t="e">
        <f>W90+#REF!</f>
        <v>#REF!</v>
      </c>
      <c r="AC90" s="298"/>
      <c r="AD90" s="555">
        <f>AD69+AD79+AD88</f>
        <v>8044593.4503530413</v>
      </c>
      <c r="AE90" s="555">
        <f>AE69+AE79+AE88</f>
        <v>834102.6984127881</v>
      </c>
      <c r="AF90" s="554">
        <f>AD90/$AQ90</f>
        <v>8.3661253602085081E-2</v>
      </c>
      <c r="AG90" s="555">
        <f>AG69+AG79+AG88</f>
        <v>0</v>
      </c>
      <c r="AH90" s="750">
        <f>AH69+AH79+AH88</f>
        <v>0</v>
      </c>
      <c r="AI90" s="555"/>
      <c r="AJ90" s="298"/>
      <c r="AK90" s="298"/>
      <c r="AL90" s="298"/>
      <c r="AM90" s="298"/>
      <c r="AN90" s="298"/>
      <c r="AO90" s="298"/>
      <c r="AP90" s="555">
        <f>AT90</f>
        <v>9970000</v>
      </c>
      <c r="AQ90" s="555">
        <f>AQ69+AQ79+AQ88</f>
        <v>96156740.47409381</v>
      </c>
      <c r="AT90" s="555">
        <f>AT69+AT79+AT88</f>
        <v>9970000</v>
      </c>
      <c r="AU90" s="557"/>
      <c r="AV90" s="557"/>
      <c r="BB90"/>
      <c r="BC90"/>
      <c r="BD90"/>
    </row>
    <row r="91" spans="3:60" x14ac:dyDescent="0.35">
      <c r="AA91" s="298"/>
      <c r="AC91" s="298"/>
      <c r="AJ91" s="298"/>
      <c r="AK91" s="298"/>
      <c r="AL91" s="298"/>
      <c r="AM91" s="298"/>
      <c r="AN91" s="298"/>
      <c r="AO91" s="298"/>
    </row>
    <row r="92" spans="3:60" x14ac:dyDescent="0.35">
      <c r="I92" s="301"/>
      <c r="J92" s="301"/>
      <c r="L92" s="559"/>
      <c r="M92" s="559"/>
      <c r="O92" s="301"/>
      <c r="P92" s="301"/>
      <c r="Q92" s="301"/>
      <c r="R92" s="308"/>
      <c r="S92" s="716"/>
      <c r="U92" s="561">
        <f>'[7]PTBA 16-17-18'!$X$86</f>
        <v>16080053</v>
      </c>
      <c r="W92" s="301"/>
      <c r="X92" s="561">
        <f>'[7]PTBA 16-17-18'!Z86</f>
        <v>12858212</v>
      </c>
      <c r="Y92" s="561">
        <f>'[7]PTBA 16-17-18'!AA86</f>
        <v>1333202.1552304819</v>
      </c>
      <c r="Z92" s="301"/>
      <c r="AA92" s="298"/>
      <c r="AC92" s="298"/>
      <c r="AD92" s="561"/>
      <c r="AE92" s="308">
        <f>AE90-AE79</f>
        <v>745970.55127243069</v>
      </c>
      <c r="AF92" s="301"/>
      <c r="AG92" s="561"/>
      <c r="AH92" s="561"/>
      <c r="AI92" s="301"/>
      <c r="AJ92" s="298"/>
      <c r="AK92" s="298"/>
      <c r="AL92" s="298"/>
      <c r="AM92" s="298"/>
      <c r="AN92" s="298"/>
      <c r="AO92" s="298"/>
      <c r="AP92" s="560"/>
    </row>
    <row r="93" spans="3:60" x14ac:dyDescent="0.35">
      <c r="I93" s="370">
        <f>I90-I79-I67</f>
        <v>21570000</v>
      </c>
      <c r="J93" s="370">
        <f>J90-J79-J67</f>
        <v>2381641.6703694239</v>
      </c>
      <c r="L93" s="559"/>
      <c r="M93" s="559"/>
      <c r="O93" s="370">
        <f>O90-O88</f>
        <v>39910000</v>
      </c>
      <c r="P93" s="370"/>
      <c r="Q93" s="298"/>
      <c r="R93" s="438"/>
      <c r="S93" s="396"/>
      <c r="U93" s="370"/>
      <c r="V93" s="370"/>
      <c r="W93" s="298"/>
      <c r="X93" s="298"/>
      <c r="Y93" s="298"/>
      <c r="Z93" s="298"/>
      <c r="AA93" s="298"/>
      <c r="AC93" s="298"/>
      <c r="AD93" s="370"/>
      <c r="AE93" s="370"/>
      <c r="AF93" s="298"/>
      <c r="AG93" s="298"/>
      <c r="AH93" s="298"/>
      <c r="AI93" s="298"/>
      <c r="AJ93" s="298"/>
      <c r="AK93" s="298"/>
      <c r="AL93" s="298"/>
      <c r="AM93" s="298"/>
      <c r="AN93" s="298"/>
      <c r="AO93" s="298"/>
      <c r="AP93" s="370">
        <f>AP90-AP88</f>
        <v>9188940</v>
      </c>
      <c r="AQ93" s="370">
        <f>AQ90-AQ88</f>
        <v>88623723.05035302</v>
      </c>
    </row>
    <row r="94" spans="3:60" x14ac:dyDescent="0.35">
      <c r="I94" s="298"/>
      <c r="J94" s="298"/>
      <c r="L94" s="490"/>
      <c r="M94" s="490"/>
      <c r="O94" s="298"/>
      <c r="P94" s="298"/>
      <c r="Q94" s="298"/>
      <c r="R94" s="298"/>
      <c r="S94" s="396"/>
      <c r="U94" s="298"/>
      <c r="V94" s="298"/>
      <c r="W94" s="298"/>
      <c r="X94" s="298"/>
      <c r="Y94" s="298"/>
      <c r="Z94" s="298"/>
      <c r="AA94" s="298"/>
      <c r="AC94" s="298"/>
      <c r="AD94" s="298"/>
      <c r="AE94" s="298"/>
      <c r="AF94" s="298"/>
      <c r="AG94" s="298"/>
      <c r="AH94" s="298"/>
      <c r="AI94" s="298"/>
      <c r="AJ94" s="298"/>
      <c r="AK94" s="298"/>
      <c r="AL94" s="298"/>
      <c r="AM94" s="298"/>
      <c r="AN94" s="298"/>
      <c r="AO94" s="298"/>
      <c r="AP94" s="370"/>
    </row>
    <row r="95" spans="3:60" x14ac:dyDescent="0.35">
      <c r="L95" s="308"/>
      <c r="M95" s="308"/>
      <c r="AA95" s="298"/>
      <c r="AC95" s="298"/>
      <c r="AJ95" s="298"/>
      <c r="AK95" s="298"/>
      <c r="AL95" s="298"/>
      <c r="AM95" s="298"/>
      <c r="AN95" s="298"/>
      <c r="AO95" s="298"/>
      <c r="AP95" s="558">
        <f>271.06+140+115+65+190</f>
        <v>781.06</v>
      </c>
    </row>
    <row r="96" spans="3:60" x14ac:dyDescent="0.35">
      <c r="AA96" s="298"/>
      <c r="AC96" s="298"/>
      <c r="AJ96" s="298"/>
      <c r="AK96" s="298"/>
      <c r="AL96" s="298"/>
      <c r="AM96" s="298"/>
      <c r="AN96" s="298"/>
      <c r="AO96" s="298"/>
    </row>
    <row r="97" spans="9:56" x14ac:dyDescent="0.35">
      <c r="AA97" s="298"/>
      <c r="AC97" s="298"/>
      <c r="AJ97" s="298"/>
      <c r="AK97" s="298"/>
      <c r="AL97" s="298"/>
      <c r="AM97" s="298"/>
      <c r="AN97" s="298"/>
      <c r="AO97" s="298"/>
    </row>
    <row r="98" spans="9:56" x14ac:dyDescent="0.35">
      <c r="AA98" s="298"/>
      <c r="AC98" s="298"/>
      <c r="AJ98" s="298"/>
      <c r="AK98" s="298"/>
      <c r="AL98" s="298"/>
      <c r="AM98" s="298"/>
      <c r="AN98" s="298"/>
      <c r="AO98" s="298"/>
    </row>
    <row r="99" spans="9:56" x14ac:dyDescent="0.35">
      <c r="AA99" s="298"/>
      <c r="AC99" s="298"/>
      <c r="AJ99" s="298"/>
      <c r="AK99" s="298"/>
      <c r="AL99" s="298"/>
      <c r="AM99" s="298"/>
      <c r="AN99" s="298"/>
      <c r="AO99" s="298"/>
    </row>
    <row r="100" spans="9:56" x14ac:dyDescent="0.35">
      <c r="I100" s="561"/>
      <c r="J100" s="561"/>
      <c r="L100" s="561"/>
      <c r="M100" s="561"/>
      <c r="O100" s="561"/>
      <c r="P100" s="561"/>
      <c r="Q100" s="561"/>
      <c r="R100" s="561"/>
      <c r="S100" s="567"/>
      <c r="U100" s="561"/>
      <c r="V100" s="561"/>
      <c r="W100" s="561"/>
      <c r="X100" s="561"/>
      <c r="Y100" s="561"/>
      <c r="Z100" s="561"/>
      <c r="AA100" s="298"/>
      <c r="AC100" s="298"/>
      <c r="AD100" s="561"/>
      <c r="AE100" s="561"/>
      <c r="AF100" s="561"/>
      <c r="AG100" s="561"/>
      <c r="AH100" s="561"/>
      <c r="AI100" s="561"/>
      <c r="AJ100" s="298"/>
      <c r="AK100" s="298"/>
      <c r="AL100" s="298"/>
      <c r="AM100" s="298"/>
      <c r="AN100" s="298"/>
      <c r="AO100" s="298"/>
      <c r="AP100" s="562"/>
      <c r="AQ100" s="561"/>
    </row>
    <row r="101" spans="9:56" x14ac:dyDescent="0.35">
      <c r="I101" s="563"/>
      <c r="J101" s="563"/>
      <c r="L101" s="563"/>
      <c r="M101" s="563"/>
      <c r="O101" s="563"/>
      <c r="P101" s="563"/>
      <c r="Q101" s="563"/>
      <c r="R101" s="563"/>
      <c r="S101" s="717"/>
      <c r="U101" s="563"/>
      <c r="V101" s="563"/>
      <c r="W101" s="563"/>
      <c r="X101" s="563"/>
      <c r="Y101" s="563"/>
      <c r="Z101" s="563"/>
      <c r="AA101" s="298"/>
      <c r="AC101" s="298"/>
      <c r="AD101" s="563"/>
      <c r="AE101" s="563"/>
      <c r="AF101" s="563"/>
      <c r="AG101" s="563"/>
      <c r="AH101" s="563"/>
      <c r="AI101" s="563"/>
      <c r="AJ101" s="298"/>
      <c r="AK101" s="298"/>
      <c r="AL101" s="298"/>
      <c r="AM101" s="298"/>
      <c r="AN101" s="298"/>
      <c r="AO101" s="298"/>
      <c r="AP101" s="564"/>
    </row>
    <row r="102" spans="9:56" x14ac:dyDescent="0.35">
      <c r="I102" s="563"/>
      <c r="J102" s="563"/>
      <c r="L102" s="563"/>
      <c r="M102" s="563"/>
      <c r="O102" s="563"/>
      <c r="P102" s="563"/>
      <c r="Q102" s="563"/>
      <c r="R102" s="563"/>
      <c r="S102" s="717"/>
      <c r="U102" s="563"/>
      <c r="V102" s="563"/>
      <c r="W102" s="563"/>
      <c r="X102" s="563"/>
      <c r="Y102" s="563"/>
      <c r="Z102" s="563"/>
      <c r="AA102" s="298"/>
      <c r="AC102" s="298"/>
      <c r="AD102" s="563"/>
      <c r="AE102" s="563"/>
      <c r="AF102" s="563"/>
      <c r="AG102" s="563"/>
      <c r="AH102" s="563"/>
      <c r="AI102" s="563"/>
      <c r="AJ102" s="298"/>
      <c r="AK102" s="298"/>
      <c r="AL102" s="298"/>
      <c r="AM102" s="298"/>
      <c r="AN102" s="298"/>
      <c r="AO102" s="298"/>
      <c r="AP102" s="564"/>
    </row>
    <row r="103" spans="9:56" x14ac:dyDescent="0.35">
      <c r="AA103" s="298"/>
      <c r="AC103" s="298"/>
      <c r="AJ103" s="298"/>
      <c r="AK103" s="298"/>
      <c r="AL103" s="298"/>
      <c r="AM103" s="298"/>
      <c r="AN103" s="298"/>
      <c r="AO103" s="298"/>
    </row>
    <row r="104" spans="9:56" x14ac:dyDescent="0.35">
      <c r="AA104" s="298"/>
      <c r="AC104" s="298"/>
      <c r="AJ104" s="298"/>
      <c r="AK104" s="298"/>
      <c r="AL104" s="298"/>
      <c r="AM104" s="298"/>
      <c r="AN104" s="298"/>
      <c r="AO104" s="298"/>
    </row>
    <row r="105" spans="9:56" x14ac:dyDescent="0.35">
      <c r="AA105" s="298"/>
      <c r="AC105" s="298"/>
      <c r="AJ105" s="298"/>
      <c r="AK105" s="298"/>
      <c r="AL105" s="298"/>
      <c r="AM105" s="298"/>
      <c r="AN105" s="298"/>
      <c r="AO105" s="298"/>
    </row>
    <row r="106" spans="9:56" x14ac:dyDescent="0.35">
      <c r="AA106" s="298"/>
      <c r="AC106" s="298"/>
      <c r="AJ106" s="298"/>
      <c r="AK106" s="298"/>
      <c r="AL106" s="298"/>
      <c r="AM106" s="298"/>
      <c r="AN106" s="298"/>
      <c r="AO106" s="298"/>
      <c r="BB106" s="369"/>
      <c r="BC106" s="369"/>
      <c r="BD106" s="369"/>
    </row>
    <row r="107" spans="9:56" x14ac:dyDescent="0.35">
      <c r="I107" s="298"/>
      <c r="J107" s="298"/>
      <c r="L107" s="298"/>
      <c r="M107" s="298"/>
      <c r="O107" s="298"/>
      <c r="P107" s="298"/>
      <c r="Q107" s="298"/>
      <c r="R107" s="298"/>
      <c r="S107" s="396"/>
      <c r="U107" s="298"/>
      <c r="V107" s="298"/>
      <c r="W107" s="298"/>
      <c r="X107" s="298"/>
      <c r="Y107" s="298"/>
      <c r="Z107" s="298"/>
      <c r="AA107" s="298"/>
      <c r="AC107" s="298"/>
      <c r="AD107" s="298"/>
      <c r="AE107" s="298"/>
      <c r="AF107" s="298"/>
      <c r="AG107" s="298"/>
      <c r="AH107" s="298"/>
      <c r="AI107" s="298"/>
      <c r="AJ107" s="298"/>
      <c r="AK107" s="298"/>
      <c r="AL107" s="298"/>
      <c r="AM107" s="298"/>
      <c r="AN107" s="298"/>
      <c r="AO107" s="298"/>
      <c r="AP107" s="370"/>
      <c r="AQ107" s="565"/>
      <c r="BB107" s="369"/>
      <c r="BC107" s="369"/>
      <c r="BD107" s="369"/>
    </row>
    <row r="108" spans="9:56" x14ac:dyDescent="0.35">
      <c r="I108" s="298"/>
      <c r="J108" s="298"/>
      <c r="L108" s="298"/>
      <c r="M108" s="298"/>
      <c r="O108" s="298"/>
      <c r="P108" s="298"/>
      <c r="Q108" s="298"/>
      <c r="R108" s="298"/>
      <c r="S108" s="396"/>
      <c r="U108" s="298"/>
      <c r="V108" s="298"/>
      <c r="W108" s="298"/>
      <c r="X108" s="298"/>
      <c r="Y108" s="298"/>
      <c r="Z108" s="298"/>
      <c r="AA108" s="298"/>
      <c r="AC108" s="298"/>
      <c r="AD108" s="298"/>
      <c r="AE108" s="298"/>
      <c r="AF108" s="298"/>
      <c r="AG108" s="298"/>
      <c r="AH108" s="298"/>
      <c r="AI108" s="298"/>
      <c r="AJ108" s="298"/>
      <c r="AK108" s="298"/>
      <c r="AL108" s="298"/>
      <c r="AM108" s="298"/>
      <c r="AN108" s="298"/>
      <c r="AO108" s="298"/>
      <c r="AP108" s="370"/>
      <c r="AQ108" s="565"/>
      <c r="BB108" s="369"/>
      <c r="BC108" s="369"/>
      <c r="BD108" s="369"/>
    </row>
    <row r="109" spans="9:56" x14ac:dyDescent="0.35">
      <c r="I109" s="490"/>
      <c r="J109" s="490"/>
      <c r="K109" s="566"/>
      <c r="L109" s="490"/>
      <c r="M109" s="490"/>
      <c r="N109" s="566"/>
      <c r="O109" s="490"/>
      <c r="P109" s="490"/>
      <c r="Q109" s="490"/>
      <c r="R109" s="490"/>
      <c r="S109" s="718"/>
      <c r="T109" s="566"/>
      <c r="U109" s="490"/>
      <c r="V109" s="490"/>
      <c r="W109" s="490"/>
      <c r="X109" s="490"/>
      <c r="Y109" s="490"/>
      <c r="Z109" s="490"/>
      <c r="AA109" s="298"/>
      <c r="AB109" s="566"/>
      <c r="AC109" s="298"/>
      <c r="AD109" s="490"/>
      <c r="AE109" s="490"/>
      <c r="AF109" s="490"/>
      <c r="AG109" s="490"/>
      <c r="AH109" s="490"/>
      <c r="AI109" s="490"/>
      <c r="AJ109" s="298"/>
      <c r="AK109" s="298"/>
      <c r="AL109" s="298"/>
      <c r="AM109" s="298"/>
      <c r="AN109" s="298"/>
      <c r="AO109" s="298"/>
      <c r="AP109" s="370"/>
      <c r="AQ109" s="490"/>
    </row>
    <row r="110" spans="9:56" x14ac:dyDescent="0.35">
      <c r="I110" s="308"/>
      <c r="J110" s="308"/>
      <c r="L110" s="308"/>
      <c r="M110" s="308"/>
      <c r="O110" s="308"/>
      <c r="P110" s="308"/>
      <c r="Q110" s="308"/>
      <c r="R110" s="308"/>
      <c r="S110" s="716"/>
      <c r="U110" s="308"/>
      <c r="V110" s="308"/>
      <c r="W110" s="308"/>
      <c r="X110" s="308"/>
      <c r="Y110" s="308"/>
      <c r="Z110" s="308"/>
      <c r="AA110" s="298"/>
      <c r="AC110" s="298"/>
      <c r="AD110" s="308"/>
      <c r="AE110" s="308"/>
      <c r="AF110" s="308"/>
      <c r="AG110" s="308"/>
      <c r="AH110" s="308"/>
      <c r="AI110" s="308"/>
      <c r="AJ110" s="298"/>
      <c r="AK110" s="298"/>
      <c r="AL110" s="298"/>
      <c r="AM110" s="298"/>
      <c r="AN110" s="298"/>
      <c r="AO110" s="298"/>
      <c r="AP110" s="562"/>
    </row>
    <row r="111" spans="9:56" x14ac:dyDescent="0.35">
      <c r="AA111" s="298"/>
      <c r="AC111" s="298"/>
      <c r="AJ111" s="298"/>
      <c r="AK111" s="298"/>
      <c r="AL111" s="298"/>
      <c r="AM111" s="298"/>
      <c r="AN111" s="298"/>
      <c r="AO111" s="298"/>
    </row>
    <row r="112" spans="9:56" x14ac:dyDescent="0.35">
      <c r="AK112" s="298"/>
      <c r="AL112" s="298"/>
      <c r="AM112" s="298"/>
      <c r="AN112" s="298"/>
      <c r="AO112" s="298"/>
    </row>
    <row r="113" spans="1:56" x14ac:dyDescent="0.35">
      <c r="I113" s="561"/>
      <c r="J113" s="561"/>
      <c r="L113" s="561"/>
      <c r="M113" s="561"/>
      <c r="AK113" s="298"/>
      <c r="AL113" s="298"/>
      <c r="AM113" s="298"/>
      <c r="AN113" s="298"/>
      <c r="AO113" s="298"/>
    </row>
    <row r="114" spans="1:56" x14ac:dyDescent="0.35">
      <c r="I114" s="561"/>
      <c r="J114" s="561"/>
      <c r="L114" s="561"/>
      <c r="M114" s="561"/>
    </row>
    <row r="115" spans="1:56" x14ac:dyDescent="0.35">
      <c r="I115" s="561"/>
      <c r="J115" s="561"/>
      <c r="L115" s="561"/>
      <c r="M115" s="561"/>
    </row>
    <row r="116" spans="1:56" x14ac:dyDescent="0.35">
      <c r="I116" s="561"/>
      <c r="J116" s="561"/>
      <c r="L116" s="561"/>
      <c r="M116" s="561"/>
    </row>
    <row r="117" spans="1:56" s="369" customFormat="1" x14ac:dyDescent="0.35">
      <c r="A117"/>
      <c r="B117"/>
      <c r="C117"/>
      <c r="D117"/>
      <c r="E117"/>
      <c r="F117" s="249"/>
      <c r="G117" s="249"/>
      <c r="H117"/>
      <c r="I117" s="567"/>
      <c r="J117" s="567"/>
      <c r="L117" s="567"/>
      <c r="M117" s="567"/>
      <c r="O117"/>
      <c r="P117"/>
      <c r="Q117"/>
      <c r="R117"/>
      <c r="S117" s="312"/>
      <c r="U117"/>
      <c r="V117"/>
      <c r="W117"/>
      <c r="X117"/>
      <c r="Y117"/>
      <c r="Z117"/>
      <c r="AA117"/>
      <c r="AC117"/>
      <c r="AD117"/>
      <c r="AE117"/>
      <c r="AF117"/>
      <c r="AG117"/>
      <c r="AH117"/>
      <c r="AI117"/>
      <c r="AJ117"/>
      <c r="AK117"/>
      <c r="AL117"/>
      <c r="AM117"/>
      <c r="AN117"/>
      <c r="AO117"/>
      <c r="AP117" s="558"/>
      <c r="AQ117"/>
      <c r="AR117"/>
      <c r="AS117"/>
      <c r="AT117" s="371"/>
      <c r="AU117" s="371"/>
      <c r="AV117" s="371"/>
      <c r="BB117"/>
      <c r="BC117"/>
      <c r="BD117"/>
    </row>
    <row r="118" spans="1:56" s="369" customFormat="1" x14ac:dyDescent="0.35">
      <c r="A118"/>
      <c r="B118"/>
      <c r="C118"/>
      <c r="D118"/>
      <c r="E118"/>
      <c r="F118" s="249"/>
      <c r="G118" s="249"/>
      <c r="H118"/>
      <c r="I118" s="308"/>
      <c r="J118" s="308"/>
      <c r="L118" s="308"/>
      <c r="M118" s="308"/>
      <c r="O118"/>
      <c r="P118"/>
      <c r="Q118"/>
      <c r="R118"/>
      <c r="S118" s="312"/>
      <c r="U118"/>
      <c r="V118"/>
      <c r="W118"/>
      <c r="X118"/>
      <c r="Y118"/>
      <c r="Z118"/>
      <c r="AA118"/>
      <c r="AC118"/>
      <c r="AD118"/>
      <c r="AE118"/>
      <c r="AF118"/>
      <c r="AG118"/>
      <c r="AH118"/>
      <c r="AI118"/>
      <c r="AJ118"/>
      <c r="AK118"/>
      <c r="AL118"/>
      <c r="AM118"/>
      <c r="AN118"/>
      <c r="AO118"/>
      <c r="AP118" s="558"/>
      <c r="AQ118"/>
      <c r="AR118"/>
      <c r="AS118"/>
      <c r="AT118" s="371"/>
      <c r="AU118" s="371"/>
      <c r="AV118" s="371"/>
      <c r="BB118"/>
      <c r="BC118"/>
      <c r="BD118"/>
    </row>
    <row r="119" spans="1:56" s="369" customFormat="1" x14ac:dyDescent="0.35">
      <c r="A119"/>
      <c r="B119"/>
      <c r="C119"/>
      <c r="D119"/>
      <c r="E119"/>
      <c r="F119" s="249"/>
      <c r="G119" s="249"/>
      <c r="H119"/>
      <c r="I119" s="308"/>
      <c r="J119" s="308"/>
      <c r="L119" s="308"/>
      <c r="M119" s="308"/>
      <c r="O119"/>
      <c r="P119"/>
      <c r="Q119"/>
      <c r="R119"/>
      <c r="S119" s="312"/>
      <c r="U119"/>
      <c r="V119"/>
      <c r="W119"/>
      <c r="X119"/>
      <c r="Y119"/>
      <c r="Z119"/>
      <c r="AA119"/>
      <c r="AC119"/>
      <c r="AD119"/>
      <c r="AE119"/>
      <c r="AF119"/>
      <c r="AG119"/>
      <c r="AH119"/>
      <c r="AI119"/>
      <c r="AJ119"/>
      <c r="AK119"/>
      <c r="AL119"/>
      <c r="AM119"/>
      <c r="AN119"/>
      <c r="AO119"/>
      <c r="AP119" s="558"/>
      <c r="AQ119"/>
      <c r="AR119"/>
      <c r="AS119"/>
      <c r="AT119" s="371"/>
      <c r="AU119" s="371"/>
      <c r="AV119" s="371"/>
      <c r="BB119"/>
      <c r="BC119"/>
      <c r="BD119"/>
    </row>
  </sheetData>
  <mergeCells count="130">
    <mergeCell ref="F46:F47"/>
    <mergeCell ref="AD72:AD78"/>
    <mergeCell ref="F26:F27"/>
    <mergeCell ref="C65:H65"/>
    <mergeCell ref="C66:H66"/>
    <mergeCell ref="Q63:Q66"/>
    <mergeCell ref="R63:R65"/>
    <mergeCell ref="S63:S65"/>
    <mergeCell ref="T63:T66"/>
    <mergeCell ref="C63:H63"/>
    <mergeCell ref="I63:I66"/>
    <mergeCell ref="K63:K66"/>
    <mergeCell ref="N63:N66"/>
    <mergeCell ref="O63:O65"/>
    <mergeCell ref="N75:N77"/>
    <mergeCell ref="Q75:Q77"/>
    <mergeCell ref="N72:N74"/>
    <mergeCell ref="J63:J66"/>
    <mergeCell ref="J55:J61"/>
    <mergeCell ref="P63:P66"/>
    <mergeCell ref="C67:H67"/>
    <mergeCell ref="C69:H69"/>
    <mergeCell ref="C71:H71"/>
    <mergeCell ref="C62:H62"/>
    <mergeCell ref="E4:E13"/>
    <mergeCell ref="E14:E17"/>
    <mergeCell ref="E19:E23"/>
    <mergeCell ref="E24:E27"/>
    <mergeCell ref="E29:E34"/>
    <mergeCell ref="E44:E47"/>
    <mergeCell ref="E48:E52"/>
    <mergeCell ref="E54:E57"/>
    <mergeCell ref="E58:E61"/>
    <mergeCell ref="E35:E42"/>
    <mergeCell ref="C28:H28"/>
    <mergeCell ref="C29:C38"/>
    <mergeCell ref="F29:F31"/>
    <mergeCell ref="F32:F34"/>
    <mergeCell ref="F35:F36"/>
    <mergeCell ref="F37:F38"/>
    <mergeCell ref="D29:D42"/>
    <mergeCell ref="F19:F20"/>
    <mergeCell ref="F21:F23"/>
    <mergeCell ref="F24:F25"/>
    <mergeCell ref="C43:H43"/>
    <mergeCell ref="C44:C52"/>
    <mergeCell ref="D44:D52"/>
    <mergeCell ref="F44:F45"/>
    <mergeCell ref="BB74:BC74"/>
    <mergeCell ref="BB75:BC75"/>
    <mergeCell ref="AP2:AP3"/>
    <mergeCell ref="AQ2:AQ3"/>
    <mergeCell ref="C4:C17"/>
    <mergeCell ref="D4:D17"/>
    <mergeCell ref="F4:F8"/>
    <mergeCell ref="G4:G8"/>
    <mergeCell ref="F9:F11"/>
    <mergeCell ref="G9:G11"/>
    <mergeCell ref="F12:F13"/>
    <mergeCell ref="G12:G13"/>
    <mergeCell ref="I2:N2"/>
    <mergeCell ref="O2:T2"/>
    <mergeCell ref="U2:Z2"/>
    <mergeCell ref="AB2:AB3"/>
    <mergeCell ref="F14:F15"/>
    <mergeCell ref="G14:G15"/>
    <mergeCell ref="F16:F17"/>
    <mergeCell ref="G16:G17"/>
    <mergeCell ref="C18:H18"/>
    <mergeCell ref="C19:C27"/>
    <mergeCell ref="D19:D27"/>
    <mergeCell ref="AD2:AI2"/>
    <mergeCell ref="BB73:BC73"/>
    <mergeCell ref="AF63:AF66"/>
    <mergeCell ref="AF72:AF74"/>
    <mergeCell ref="F39:F40"/>
    <mergeCell ref="F41:F42"/>
    <mergeCell ref="AE72:AE78"/>
    <mergeCell ref="F58:F59"/>
    <mergeCell ref="F60:F61"/>
    <mergeCell ref="T48:T49"/>
    <mergeCell ref="F51:F52"/>
    <mergeCell ref="C53:H53"/>
    <mergeCell ref="C54:C61"/>
    <mergeCell ref="D54:D61"/>
    <mergeCell ref="F54:F55"/>
    <mergeCell ref="L55:L61"/>
    <mergeCell ref="M55:M61"/>
    <mergeCell ref="Q55:Q61"/>
    <mergeCell ref="T55:T61"/>
    <mergeCell ref="F48:F50"/>
    <mergeCell ref="W63:W66"/>
    <mergeCell ref="AB63:AB66"/>
    <mergeCell ref="AQ63:AQ66"/>
    <mergeCell ref="AT63:AT66"/>
    <mergeCell ref="C64:H64"/>
    <mergeCell ref="AQ75:AQ77"/>
    <mergeCell ref="AB72:AB73"/>
    <mergeCell ref="AQ72:AQ73"/>
    <mergeCell ref="AT72:AT73"/>
    <mergeCell ref="T72:T74"/>
    <mergeCell ref="W72:W74"/>
    <mergeCell ref="AT75:AT77"/>
    <mergeCell ref="AF75:AF77"/>
    <mergeCell ref="C90:H90"/>
    <mergeCell ref="Q72:Q74"/>
    <mergeCell ref="C72:C73"/>
    <mergeCell ref="F72:H72"/>
    <mergeCell ref="K72:K74"/>
    <mergeCell ref="F76:H76"/>
    <mergeCell ref="F77:H77"/>
    <mergeCell ref="T75:T77"/>
    <mergeCell ref="W75:W77"/>
    <mergeCell ref="AB75:AB77"/>
    <mergeCell ref="C83:H83"/>
    <mergeCell ref="C84:H84"/>
    <mergeCell ref="C85:H85"/>
    <mergeCell ref="C86:H86"/>
    <mergeCell ref="C87:H87"/>
    <mergeCell ref="C88:H88"/>
    <mergeCell ref="N55:N61"/>
    <mergeCell ref="F56:F57"/>
    <mergeCell ref="C78:H78"/>
    <mergeCell ref="C79:H79"/>
    <mergeCell ref="C82:H82"/>
    <mergeCell ref="F73:H73"/>
    <mergeCell ref="C74:H74"/>
    <mergeCell ref="C75:C77"/>
    <mergeCell ref="F75:H75"/>
    <mergeCell ref="K75:K77"/>
  </mergeCells>
  <pageMargins left="0.35433070866141736" right="0.19685039370078741" top="0.43307086614173229" bottom="0.27559055118110237" header="0.31496062992125984" footer="0.15748031496062992"/>
  <pageSetup paperSize="9" scale="56" fitToWidth="4" fitToHeight="2" orientation="landscape" r:id="rId1"/>
  <colBreaks count="1" manualBreakCount="1">
    <brk id="20" max="8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13"/>
  <sheetViews>
    <sheetView zoomScaleNormal="100" workbookViewId="0">
      <selection activeCell="I7" sqref="I7"/>
    </sheetView>
  </sheetViews>
  <sheetFormatPr defaultColWidth="10.90625" defaultRowHeight="14.5" x14ac:dyDescent="0.35"/>
  <cols>
    <col min="2" max="2" width="15.7265625" customWidth="1"/>
    <col min="4" max="4" width="19.1796875" customWidth="1"/>
    <col min="5" max="5" width="24" customWidth="1"/>
    <col min="6" max="6" width="13.81640625" bestFit="1" customWidth="1"/>
    <col min="7" max="7" width="12.453125" bestFit="1" customWidth="1"/>
    <col min="9" max="9" width="13.81640625" bestFit="1" customWidth="1"/>
  </cols>
  <sheetData>
    <row r="1" spans="2:9" x14ac:dyDescent="0.35">
      <c r="B1">
        <f>'PTBA-ANDZOA'!F1</f>
        <v>9.6446078710224494</v>
      </c>
    </row>
    <row r="2" spans="2:9" x14ac:dyDescent="0.35">
      <c r="I2">
        <v>42371.450353041291</v>
      </c>
    </row>
    <row r="3" spans="2:9" x14ac:dyDescent="0.35">
      <c r="B3" s="1163" t="s">
        <v>1328</v>
      </c>
      <c r="C3" s="1163" t="s">
        <v>1329</v>
      </c>
      <c r="D3" s="1163" t="s">
        <v>1046</v>
      </c>
      <c r="E3" s="1163" t="s">
        <v>1047</v>
      </c>
      <c r="F3" s="875" t="s">
        <v>1330</v>
      </c>
      <c r="G3" s="876" t="s">
        <v>1330</v>
      </c>
    </row>
    <row r="4" spans="2:9" x14ac:dyDescent="0.35">
      <c r="B4" s="1163"/>
      <c r="C4" s="1163"/>
      <c r="D4" s="1163"/>
      <c r="E4" s="1163"/>
      <c r="F4" s="875" t="s">
        <v>1331</v>
      </c>
      <c r="G4" s="876" t="s">
        <v>1332</v>
      </c>
    </row>
    <row r="5" spans="2:9" ht="48" x14ac:dyDescent="0.35">
      <c r="B5" s="1164" t="s">
        <v>1333</v>
      </c>
      <c r="C5" s="1165" t="s">
        <v>1334</v>
      </c>
      <c r="D5" s="1165" t="s">
        <v>1263</v>
      </c>
      <c r="E5" s="877" t="s">
        <v>1264</v>
      </c>
      <c r="F5" s="878">
        <f>4452222+42371.4503530412</f>
        <v>4494593.4503530413</v>
      </c>
      <c r="G5" s="878">
        <f>F5/$B$1</f>
        <v>466021.37800306006</v>
      </c>
      <c r="I5" s="308">
        <f>I11-F11</f>
        <v>0</v>
      </c>
    </row>
    <row r="6" spans="2:9" ht="24" x14ac:dyDescent="0.35">
      <c r="B6" s="1164"/>
      <c r="C6" s="1165"/>
      <c r="D6" s="1165"/>
      <c r="E6" s="877" t="s">
        <v>1265</v>
      </c>
      <c r="F6" s="879">
        <v>1000000</v>
      </c>
      <c r="G6" s="878">
        <f t="shared" ref="G6:G12" si="0">F6/$B$1</f>
        <v>103684.87898865581</v>
      </c>
    </row>
    <row r="7" spans="2:9" ht="36" x14ac:dyDescent="0.35">
      <c r="B7" s="1164"/>
      <c r="C7" s="1165"/>
      <c r="D7" s="1165" t="s">
        <v>1266</v>
      </c>
      <c r="E7" s="877" t="s">
        <v>1335</v>
      </c>
      <c r="F7" s="879">
        <v>650000</v>
      </c>
      <c r="G7" s="878">
        <f t="shared" si="0"/>
        <v>67395.171342626272</v>
      </c>
    </row>
    <row r="8" spans="2:9" ht="24" x14ac:dyDescent="0.35">
      <c r="B8" s="1164"/>
      <c r="C8" s="1165"/>
      <c r="D8" s="1165"/>
      <c r="E8" s="877" t="s">
        <v>1336</v>
      </c>
      <c r="F8" s="879">
        <v>600000</v>
      </c>
      <c r="G8" s="878">
        <f t="shared" si="0"/>
        <v>62210.927393193488</v>
      </c>
    </row>
    <row r="9" spans="2:9" ht="24" customHeight="1" x14ac:dyDescent="0.35">
      <c r="B9" s="1161" t="s">
        <v>1337</v>
      </c>
      <c r="C9" s="1161"/>
      <c r="D9" s="1161"/>
      <c r="E9" s="1161"/>
      <c r="F9" s="521">
        <f>SUM(F5:F8)</f>
        <v>6744593.4503530413</v>
      </c>
      <c r="G9" s="521">
        <f>SUM(G5:G8)</f>
        <v>699312.35572753556</v>
      </c>
    </row>
    <row r="10" spans="2:9" ht="23.5" customHeight="1" x14ac:dyDescent="0.35">
      <c r="B10" s="884" t="s">
        <v>1338</v>
      </c>
      <c r="C10" s="1161" t="s">
        <v>1339</v>
      </c>
      <c r="D10" s="1161"/>
      <c r="E10" s="1161"/>
      <c r="F10" s="883">
        <v>450000</v>
      </c>
      <c r="G10" s="883">
        <f t="shared" si="0"/>
        <v>46658.195544895112</v>
      </c>
    </row>
    <row r="11" spans="2:9" x14ac:dyDescent="0.35">
      <c r="B11" s="1162" t="s">
        <v>1341</v>
      </c>
      <c r="C11" s="1162"/>
      <c r="D11" s="1162"/>
      <c r="E11" s="1162"/>
      <c r="F11" s="880">
        <f>F10+F9</f>
        <v>7194593.4503530413</v>
      </c>
      <c r="G11" s="881">
        <f t="shared" si="0"/>
        <v>745970.55127243081</v>
      </c>
      <c r="I11" s="298">
        <f>'[7]Eng-Paie-PTBA3-2019(mars20)'!$E$59</f>
        <v>7194593.4503530413</v>
      </c>
    </row>
    <row r="12" spans="2:9" x14ac:dyDescent="0.35">
      <c r="B12" s="882"/>
      <c r="C12" s="882"/>
      <c r="D12" s="882" t="s">
        <v>1342</v>
      </c>
      <c r="E12" s="882"/>
      <c r="F12" s="883">
        <v>850000</v>
      </c>
      <c r="G12" s="883">
        <f t="shared" si="0"/>
        <v>88132.14714035744</v>
      </c>
    </row>
    <row r="13" spans="2:9" x14ac:dyDescent="0.35">
      <c r="B13" s="1162" t="s">
        <v>1340</v>
      </c>
      <c r="C13" s="1162"/>
      <c r="D13" s="1162"/>
      <c r="E13" s="1162"/>
      <c r="F13" s="880">
        <f>F12+F11</f>
        <v>8044593.4503530413</v>
      </c>
      <c r="G13" s="880">
        <f>G12+G11</f>
        <v>834102.69841278822</v>
      </c>
    </row>
  </sheetData>
  <mergeCells count="12">
    <mergeCell ref="B9:E9"/>
    <mergeCell ref="C10:E10"/>
    <mergeCell ref="B11:E11"/>
    <mergeCell ref="B13:E13"/>
    <mergeCell ref="B3:B4"/>
    <mergeCell ref="C3:C4"/>
    <mergeCell ref="D3:D4"/>
    <mergeCell ref="E3:E4"/>
    <mergeCell ref="B5:B8"/>
    <mergeCell ref="C5:C8"/>
    <mergeCell ref="D5:D6"/>
    <mergeCell ref="D7:D8"/>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C3E57-0DCD-4531-915D-F05BBC990614}">
  <dimension ref="C3:N21"/>
  <sheetViews>
    <sheetView topLeftCell="B3" workbookViewId="0">
      <selection activeCell="H16" sqref="H16"/>
    </sheetView>
  </sheetViews>
  <sheetFormatPr defaultColWidth="10.90625" defaultRowHeight="14.5" x14ac:dyDescent="0.35"/>
  <cols>
    <col min="7" max="9" width="14.81640625" bestFit="1" customWidth="1"/>
    <col min="13" max="13" width="14.81640625" bestFit="1" customWidth="1"/>
    <col min="14" max="14" width="13.81640625" bestFit="1" customWidth="1"/>
  </cols>
  <sheetData>
    <row r="3" spans="3:14" x14ac:dyDescent="0.35">
      <c r="C3" t="s">
        <v>1361</v>
      </c>
      <c r="D3" s="894" t="s">
        <v>1362</v>
      </c>
      <c r="E3" s="894" t="s">
        <v>1363</v>
      </c>
      <c r="F3" s="895" t="s">
        <v>1364</v>
      </c>
      <c r="G3" s="895" t="s">
        <v>1365</v>
      </c>
      <c r="H3" s="895" t="s">
        <v>1366</v>
      </c>
      <c r="I3" s="895" t="s">
        <v>1367</v>
      </c>
    </row>
    <row r="4" spans="3:14" x14ac:dyDescent="0.35">
      <c r="C4" s="898" t="s">
        <v>1368</v>
      </c>
      <c r="D4" s="896">
        <v>42146</v>
      </c>
      <c r="E4" s="896">
        <v>42145</v>
      </c>
      <c r="F4" s="369" t="s">
        <v>1369</v>
      </c>
      <c r="G4" s="897" t="s">
        <v>1370</v>
      </c>
      <c r="H4" s="899">
        <v>25669937.100000001</v>
      </c>
      <c r="I4" s="897">
        <f>SUM($G$4:H4)-SUM($F$4:G4)</f>
        <v>25669937.100000001</v>
      </c>
    </row>
    <row r="5" spans="3:14" x14ac:dyDescent="0.35">
      <c r="C5" s="758" t="s">
        <v>1368</v>
      </c>
      <c r="D5" s="896">
        <v>42146</v>
      </c>
      <c r="E5" s="896">
        <v>42145</v>
      </c>
      <c r="F5" s="369" t="s">
        <v>1371</v>
      </c>
      <c r="G5" s="897" t="s">
        <v>1370</v>
      </c>
      <c r="H5" s="904">
        <v>2638618.0499999998</v>
      </c>
      <c r="I5" s="897">
        <f>SUM($G$4:H5)-SUM($F$4:G5)</f>
        <v>28308555.150000002</v>
      </c>
      <c r="L5" t="s">
        <v>856</v>
      </c>
      <c r="M5" s="301">
        <f>H5+H8+H11</f>
        <v>5088189.79</v>
      </c>
      <c r="N5" s="301">
        <f>M5/$K$15</f>
        <v>527568.34264746401</v>
      </c>
    </row>
    <row r="6" spans="3:14" x14ac:dyDescent="0.35">
      <c r="C6" s="900" t="s">
        <v>1368</v>
      </c>
      <c r="D6" s="896">
        <v>42305</v>
      </c>
      <c r="E6" s="896">
        <v>42305</v>
      </c>
      <c r="F6" s="369" t="s">
        <v>1372</v>
      </c>
      <c r="G6" s="901">
        <v>25431530</v>
      </c>
      <c r="H6" s="897" t="s">
        <v>1370</v>
      </c>
      <c r="I6" s="897">
        <f>SUM($G$4:H6)-SUM($F$4:G6)</f>
        <v>28308555.150000006</v>
      </c>
      <c r="L6" t="s">
        <v>1386</v>
      </c>
      <c r="M6" s="301">
        <f>H4+H7+H10</f>
        <v>83081381.620000005</v>
      </c>
      <c r="N6" s="301">
        <f>M6/$K$15</f>
        <v>8614282.9994800333</v>
      </c>
    </row>
    <row r="7" spans="3:14" x14ac:dyDescent="0.35">
      <c r="C7" s="898" t="s">
        <v>1373</v>
      </c>
      <c r="D7" s="896">
        <v>42901</v>
      </c>
      <c r="E7" s="896">
        <v>42900</v>
      </c>
      <c r="F7" s="369" t="s">
        <v>1374</v>
      </c>
      <c r="G7" s="897" t="s">
        <v>1370</v>
      </c>
      <c r="H7" s="899">
        <v>41331390.920000002</v>
      </c>
      <c r="I7" s="897">
        <f>SUM($G$4:H7)-SUM($F$4:G7)</f>
        <v>69639946.070000008</v>
      </c>
    </row>
    <row r="8" spans="3:14" x14ac:dyDescent="0.35">
      <c r="C8" s="758" t="s">
        <v>1373</v>
      </c>
      <c r="D8" s="896">
        <v>42902</v>
      </c>
      <c r="E8" s="896">
        <v>42901</v>
      </c>
      <c r="F8" s="369" t="s">
        <v>1375</v>
      </c>
      <c r="G8" s="897" t="s">
        <v>1370</v>
      </c>
      <c r="H8" s="904">
        <v>1358326.42</v>
      </c>
      <c r="I8" s="897">
        <f>SUM($G$4:H8)-SUM($F$4:G8)</f>
        <v>70998272.49000001</v>
      </c>
    </row>
    <row r="9" spans="3:14" x14ac:dyDescent="0.35">
      <c r="C9" s="303" t="s">
        <v>1373</v>
      </c>
      <c r="D9" s="896">
        <v>42993</v>
      </c>
      <c r="E9" s="896">
        <v>42993</v>
      </c>
      <c r="F9" s="369" t="s">
        <v>1376</v>
      </c>
      <c r="G9" s="901">
        <v>39594335</v>
      </c>
      <c r="H9" s="897" t="s">
        <v>1370</v>
      </c>
      <c r="I9" s="897">
        <f>SUM($G$4:H9)-SUM($F$4:G9)</f>
        <v>70998272.49000001</v>
      </c>
    </row>
    <row r="10" spans="3:14" x14ac:dyDescent="0.35">
      <c r="C10" s="898" t="s">
        <v>1377</v>
      </c>
      <c r="D10" s="896">
        <v>43500</v>
      </c>
      <c r="E10" s="896">
        <v>43497</v>
      </c>
      <c r="F10" s="369" t="s">
        <v>1378</v>
      </c>
      <c r="G10" s="897" t="s">
        <v>1370</v>
      </c>
      <c r="H10" s="899">
        <v>16080053.6</v>
      </c>
      <c r="I10" s="897">
        <f>SUM($G$4:H10)-SUM($F$4:G10)</f>
        <v>87078326.090000004</v>
      </c>
    </row>
    <row r="11" spans="3:14" x14ac:dyDescent="0.35">
      <c r="C11" s="758" t="s">
        <v>1377</v>
      </c>
      <c r="D11" s="896">
        <v>43500</v>
      </c>
      <c r="E11" s="896">
        <v>43497</v>
      </c>
      <c r="F11" s="369" t="s">
        <v>1378</v>
      </c>
      <c r="G11" s="897" t="s">
        <v>1370</v>
      </c>
      <c r="H11" s="904">
        <v>1091245.32</v>
      </c>
      <c r="I11" s="897">
        <f>SUM($G$4:H11)-SUM($F$4:G11)</f>
        <v>88169571.409999996</v>
      </c>
    </row>
    <row r="12" spans="3:14" x14ac:dyDescent="0.35">
      <c r="C12" s="303" t="s">
        <v>1377</v>
      </c>
      <c r="D12" s="896">
        <v>43679</v>
      </c>
      <c r="E12" s="896">
        <v>43679</v>
      </c>
      <c r="F12" s="369" t="s">
        <v>1379</v>
      </c>
      <c r="G12" s="901">
        <v>16080053.6</v>
      </c>
      <c r="H12" s="897" t="s">
        <v>1370</v>
      </c>
      <c r="I12" s="897">
        <f>SUM($G$4:H12)-SUM($F$4:G12)</f>
        <v>88169571.409999996</v>
      </c>
    </row>
    <row r="15" spans="3:14" ht="29" x14ac:dyDescent="0.35">
      <c r="G15" s="902" t="s">
        <v>1380</v>
      </c>
      <c r="H15" s="902" t="s">
        <v>1381</v>
      </c>
      <c r="J15" t="s">
        <v>1384</v>
      </c>
      <c r="K15">
        <v>9.6446078710224494</v>
      </c>
    </row>
    <row r="16" spans="3:14" x14ac:dyDescent="0.35">
      <c r="F16" t="s">
        <v>1382</v>
      </c>
      <c r="G16" s="311">
        <f>SUM(G4:G14)</f>
        <v>81105918.599999994</v>
      </c>
      <c r="H16" s="311">
        <f>SUM(H4:H14)</f>
        <v>88169571.409999996</v>
      </c>
    </row>
    <row r="17" spans="5:8" x14ac:dyDescent="0.35">
      <c r="F17" t="s">
        <v>1383</v>
      </c>
      <c r="G17" s="301">
        <f>G16/$K$15</f>
        <v>8409457.3553047683</v>
      </c>
      <c r="H17" s="301">
        <f>H16/$K$15</f>
        <v>9141851.3421274964</v>
      </c>
    </row>
    <row r="19" spans="5:8" x14ac:dyDescent="0.35">
      <c r="E19" s="903" t="s">
        <v>1385</v>
      </c>
      <c r="H19" s="301">
        <f>'PTBA 4'!G11</f>
        <v>745970.55127243081</v>
      </c>
    </row>
    <row r="21" spans="5:8" x14ac:dyDescent="0.35">
      <c r="H21" s="301">
        <f>SUM(H17:H20)</f>
        <v>9887821.8933999278</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77"/>
  <sheetViews>
    <sheetView topLeftCell="A12" workbookViewId="0">
      <selection activeCell="R31" sqref="R31"/>
    </sheetView>
  </sheetViews>
  <sheetFormatPr defaultColWidth="102.453125" defaultRowHeight="14" x14ac:dyDescent="0.3"/>
  <cols>
    <col min="1" max="1" width="2.54296875" style="1" customWidth="1"/>
    <col min="2" max="2" width="10.81640625" style="123" customWidth="1"/>
    <col min="3" max="3" width="14.81640625" style="123" customWidth="1"/>
    <col min="4" max="4" width="87.1796875" style="1" customWidth="1"/>
    <col min="5" max="5" width="3.5429687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24"/>
      <c r="C2" s="125"/>
      <c r="D2" s="70"/>
      <c r="E2" s="71"/>
    </row>
    <row r="3" spans="2:16" ht="18" thickBot="1" x14ac:dyDescent="0.4">
      <c r="B3" s="126"/>
      <c r="C3" s="127"/>
      <c r="D3" s="82" t="s">
        <v>238</v>
      </c>
      <c r="E3" s="73"/>
    </row>
    <row r="4" spans="2:16" ht="14.5" thickBot="1" x14ac:dyDescent="0.35">
      <c r="B4" s="126"/>
      <c r="C4" s="127"/>
      <c r="D4" s="72"/>
      <c r="E4" s="73"/>
    </row>
    <row r="5" spans="2:16" ht="14.5" thickBot="1" x14ac:dyDescent="0.35">
      <c r="B5" s="126"/>
      <c r="C5" s="130" t="s">
        <v>279</v>
      </c>
      <c r="D5" s="630">
        <v>2019</v>
      </c>
      <c r="E5" s="73"/>
    </row>
    <row r="6" spans="2:16" s="3" customFormat="1" ht="14.5" thickBot="1" x14ac:dyDescent="0.35">
      <c r="B6" s="128"/>
      <c r="C6" s="80"/>
      <c r="D6" s="40"/>
      <c r="E6" s="38"/>
      <c r="G6" s="2"/>
      <c r="H6" s="2"/>
      <c r="I6" s="2"/>
      <c r="J6" s="2"/>
      <c r="K6" s="2"/>
      <c r="L6" s="2"/>
      <c r="M6" s="2"/>
      <c r="N6" s="2"/>
      <c r="O6" s="2"/>
      <c r="P6" s="2"/>
    </row>
    <row r="7" spans="2:16" s="3" customFormat="1" ht="30.75" customHeight="1" thickBot="1" x14ac:dyDescent="0.35">
      <c r="B7" s="128"/>
      <c r="C7" s="74" t="s">
        <v>214</v>
      </c>
      <c r="D7" s="335" t="s">
        <v>659</v>
      </c>
      <c r="E7" s="38"/>
      <c r="G7" s="2"/>
      <c r="H7" s="2"/>
      <c r="I7" s="2"/>
      <c r="J7" s="2"/>
      <c r="K7" s="2"/>
      <c r="L7" s="2"/>
      <c r="M7" s="2"/>
      <c r="N7" s="2"/>
      <c r="O7" s="2"/>
      <c r="P7" s="2"/>
    </row>
    <row r="8" spans="2:16" s="3" customFormat="1" hidden="1" x14ac:dyDescent="0.3">
      <c r="B8" s="126"/>
      <c r="C8" s="127"/>
      <c r="D8" s="72"/>
      <c r="E8" s="38"/>
      <c r="G8" s="2"/>
      <c r="H8" s="2"/>
      <c r="I8" s="2"/>
      <c r="J8" s="2"/>
      <c r="K8" s="2"/>
      <c r="L8" s="2"/>
      <c r="M8" s="2"/>
      <c r="N8" s="2"/>
      <c r="O8" s="2"/>
      <c r="P8" s="2"/>
    </row>
    <row r="9" spans="2:16" s="3" customFormat="1" hidden="1" x14ac:dyDescent="0.3">
      <c r="B9" s="126"/>
      <c r="C9" s="127"/>
      <c r="D9" s="72"/>
      <c r="E9" s="38"/>
      <c r="G9" s="2"/>
      <c r="H9" s="2"/>
      <c r="I9" s="2"/>
      <c r="J9" s="2"/>
      <c r="K9" s="2"/>
      <c r="L9" s="2"/>
      <c r="M9" s="2"/>
      <c r="N9" s="2"/>
      <c r="O9" s="2"/>
      <c r="P9" s="2"/>
    </row>
    <row r="10" spans="2:16" s="3" customFormat="1" hidden="1" x14ac:dyDescent="0.3">
      <c r="B10" s="126"/>
      <c r="C10" s="127"/>
      <c r="D10" s="72"/>
      <c r="E10" s="38"/>
      <c r="G10" s="2"/>
      <c r="H10" s="2"/>
      <c r="I10" s="2"/>
      <c r="J10" s="2"/>
      <c r="K10" s="2"/>
      <c r="L10" s="2"/>
      <c r="M10" s="2"/>
      <c r="N10" s="2"/>
      <c r="O10" s="2"/>
      <c r="P10" s="2"/>
    </row>
    <row r="11" spans="2:16" s="3" customFormat="1" hidden="1" x14ac:dyDescent="0.3">
      <c r="B11" s="126"/>
      <c r="C11" s="127"/>
      <c r="D11" s="72"/>
      <c r="E11" s="38"/>
      <c r="G11" s="2"/>
      <c r="H11" s="2"/>
      <c r="I11" s="2"/>
      <c r="J11" s="2"/>
      <c r="K11" s="2"/>
      <c r="L11" s="2"/>
      <c r="M11" s="2"/>
      <c r="N11" s="2"/>
      <c r="O11" s="2"/>
      <c r="P11" s="2"/>
    </row>
    <row r="12" spans="2:16" s="3" customFormat="1" ht="14.5" thickBot="1" x14ac:dyDescent="0.35">
      <c r="B12" s="128"/>
      <c r="C12" s="80"/>
      <c r="D12" s="40"/>
      <c r="E12" s="38"/>
      <c r="G12" s="2"/>
      <c r="H12" s="2"/>
      <c r="I12" s="2"/>
      <c r="J12" s="2"/>
      <c r="K12" s="2"/>
      <c r="L12" s="2"/>
      <c r="M12" s="2"/>
      <c r="N12" s="2"/>
      <c r="O12" s="2"/>
      <c r="P12" s="2"/>
    </row>
    <row r="13" spans="2:16" s="3" customFormat="1" ht="169.5" thickBot="1" x14ac:dyDescent="0.35">
      <c r="B13" s="128"/>
      <c r="C13" s="75" t="s">
        <v>0</v>
      </c>
      <c r="D13" s="345" t="s">
        <v>853</v>
      </c>
      <c r="E13" s="38"/>
      <c r="G13" s="2"/>
      <c r="H13" s="2"/>
      <c r="I13" s="2"/>
      <c r="J13" s="2"/>
      <c r="K13" s="2"/>
      <c r="L13" s="2"/>
      <c r="M13" s="2"/>
      <c r="N13" s="2"/>
      <c r="O13" s="2"/>
      <c r="P13" s="2"/>
    </row>
    <row r="14" spans="2:16" s="3" customFormat="1" ht="14.5" thickBot="1" x14ac:dyDescent="0.35">
      <c r="B14" s="128"/>
      <c r="C14" s="80"/>
      <c r="D14" s="40"/>
      <c r="E14" s="38"/>
      <c r="G14" s="2"/>
      <c r="H14" s="2" t="s">
        <v>1</v>
      </c>
      <c r="I14" s="2" t="s">
        <v>2</v>
      </c>
      <c r="J14" s="2"/>
      <c r="K14" s="2" t="s">
        <v>3</v>
      </c>
      <c r="L14" s="2" t="s">
        <v>4</v>
      </c>
      <c r="M14" s="2" t="s">
        <v>5</v>
      </c>
      <c r="N14" s="2" t="s">
        <v>6</v>
      </c>
      <c r="O14" s="2" t="s">
        <v>7</v>
      </c>
      <c r="P14" s="2" t="s">
        <v>8</v>
      </c>
    </row>
    <row r="15" spans="2:16" s="3" customFormat="1" x14ac:dyDescent="0.3">
      <c r="B15" s="128"/>
      <c r="C15" s="76" t="s">
        <v>204</v>
      </c>
      <c r="D15" s="13"/>
      <c r="E15" s="38"/>
      <c r="G15" s="2"/>
      <c r="H15" s="4" t="s">
        <v>9</v>
      </c>
      <c r="I15" s="2" t="s">
        <v>10</v>
      </c>
      <c r="J15" s="2" t="s">
        <v>11</v>
      </c>
      <c r="K15" s="2" t="s">
        <v>12</v>
      </c>
      <c r="L15" s="2">
        <v>1</v>
      </c>
      <c r="M15" s="2">
        <v>1</v>
      </c>
      <c r="N15" s="2" t="s">
        <v>13</v>
      </c>
      <c r="O15" s="2" t="s">
        <v>14</v>
      </c>
      <c r="P15" s="2" t="s">
        <v>15</v>
      </c>
    </row>
    <row r="16" spans="2:16" s="3" customFormat="1" ht="29.25" customHeight="1" x14ac:dyDescent="0.3">
      <c r="B16" s="1166" t="s">
        <v>266</v>
      </c>
      <c r="C16" s="1167"/>
      <c r="D16" s="336" t="s">
        <v>658</v>
      </c>
      <c r="E16" s="38"/>
      <c r="G16" s="2"/>
      <c r="H16" s="4" t="s">
        <v>16</v>
      </c>
      <c r="I16" s="2" t="s">
        <v>17</v>
      </c>
      <c r="J16" s="2" t="s">
        <v>18</v>
      </c>
      <c r="K16" s="2" t="s">
        <v>19</v>
      </c>
      <c r="L16" s="2">
        <v>2</v>
      </c>
      <c r="M16" s="2">
        <v>2</v>
      </c>
      <c r="N16" s="2" t="s">
        <v>20</v>
      </c>
      <c r="O16" s="2" t="s">
        <v>21</v>
      </c>
      <c r="P16" s="2" t="s">
        <v>22</v>
      </c>
    </row>
    <row r="17" spans="2:16" s="3" customFormat="1" x14ac:dyDescent="0.3">
      <c r="B17" s="128"/>
      <c r="C17" s="76" t="s">
        <v>210</v>
      </c>
      <c r="D17" s="14"/>
      <c r="E17" s="38"/>
      <c r="G17" s="2"/>
      <c r="H17" s="4" t="s">
        <v>23</v>
      </c>
      <c r="I17" s="2" t="s">
        <v>24</v>
      </c>
      <c r="J17" s="2"/>
      <c r="K17" s="2" t="s">
        <v>25</v>
      </c>
      <c r="L17" s="2">
        <v>3</v>
      </c>
      <c r="M17" s="2">
        <v>3</v>
      </c>
      <c r="N17" s="2" t="s">
        <v>26</v>
      </c>
      <c r="O17" s="2" t="s">
        <v>27</v>
      </c>
      <c r="P17" s="2" t="s">
        <v>28</v>
      </c>
    </row>
    <row r="18" spans="2:16" s="3" customFormat="1" ht="14.5" thickBot="1" x14ac:dyDescent="0.35">
      <c r="B18" s="129"/>
      <c r="C18" s="75" t="s">
        <v>205</v>
      </c>
      <c r="D18" s="337" t="s">
        <v>126</v>
      </c>
      <c r="E18" s="38"/>
      <c r="G18" s="2"/>
      <c r="H18" s="4" t="s">
        <v>29</v>
      </c>
      <c r="I18" s="2"/>
      <c r="J18" s="2"/>
      <c r="K18" s="2" t="s">
        <v>30</v>
      </c>
      <c r="L18" s="2">
        <v>5</v>
      </c>
      <c r="M18" s="2">
        <v>5</v>
      </c>
      <c r="N18" s="2" t="s">
        <v>31</v>
      </c>
      <c r="O18" s="2" t="s">
        <v>32</v>
      </c>
      <c r="P18" s="2" t="s">
        <v>33</v>
      </c>
    </row>
    <row r="19" spans="2:16" s="3" customFormat="1" ht="50.25" customHeight="1" thickBot="1" x14ac:dyDescent="0.35">
      <c r="B19" s="1169" t="s">
        <v>206</v>
      </c>
      <c r="C19" s="1170"/>
      <c r="D19" s="345" t="s">
        <v>854</v>
      </c>
      <c r="E19" s="38"/>
      <c r="G19" s="2"/>
      <c r="H19" s="4" t="s">
        <v>34</v>
      </c>
      <c r="I19" s="2"/>
      <c r="J19" s="2"/>
      <c r="K19" s="2" t="s">
        <v>35</v>
      </c>
      <c r="L19" s="2"/>
      <c r="M19" s="2"/>
      <c r="N19" s="2"/>
      <c r="O19" s="2" t="s">
        <v>36</v>
      </c>
      <c r="P19" s="2" t="s">
        <v>37</v>
      </c>
    </row>
    <row r="20" spans="2:16" s="3" customFormat="1" x14ac:dyDescent="0.3">
      <c r="B20" s="128"/>
      <c r="C20" s="75"/>
      <c r="D20" s="40"/>
      <c r="E20" s="73"/>
      <c r="F20" s="4"/>
      <c r="G20" s="2"/>
      <c r="H20" s="2"/>
      <c r="J20" s="2"/>
      <c r="K20" s="2"/>
      <c r="L20" s="2"/>
      <c r="M20" s="2" t="s">
        <v>38</v>
      </c>
      <c r="N20" s="2" t="s">
        <v>39</v>
      </c>
    </row>
    <row r="21" spans="2:16" s="3" customFormat="1" x14ac:dyDescent="0.3">
      <c r="B21" s="128"/>
      <c r="C21" s="130" t="s">
        <v>209</v>
      </c>
      <c r="D21" s="40"/>
      <c r="E21" s="73"/>
      <c r="F21" s="4"/>
      <c r="G21" s="2"/>
      <c r="H21" s="2"/>
      <c r="J21" s="2"/>
      <c r="K21" s="2"/>
      <c r="L21" s="2"/>
      <c r="M21" s="2" t="s">
        <v>40</v>
      </c>
      <c r="N21" s="2" t="s">
        <v>41</v>
      </c>
    </row>
    <row r="22" spans="2:16" s="3" customFormat="1" x14ac:dyDescent="0.3">
      <c r="B22" s="128"/>
      <c r="C22" s="131" t="s">
        <v>212</v>
      </c>
      <c r="D22" s="40"/>
      <c r="E22" s="38"/>
      <c r="G22" s="2"/>
      <c r="H22" s="4" t="s">
        <v>42</v>
      </c>
      <c r="I22" s="2"/>
      <c r="J22" s="2"/>
      <c r="L22" s="2"/>
      <c r="M22" s="2"/>
      <c r="N22" s="2"/>
      <c r="O22" s="2" t="s">
        <v>43</v>
      </c>
      <c r="P22" s="2" t="s">
        <v>44</v>
      </c>
    </row>
    <row r="23" spans="2:16" s="3" customFormat="1" x14ac:dyDescent="0.3">
      <c r="B23" s="1166" t="s">
        <v>211</v>
      </c>
      <c r="C23" s="1167"/>
      <c r="D23" s="338"/>
      <c r="E23" s="38"/>
      <c r="G23" s="2"/>
      <c r="H23" s="4"/>
      <c r="I23" s="2"/>
      <c r="J23" s="2"/>
      <c r="L23" s="2"/>
      <c r="M23" s="2"/>
      <c r="N23" s="2"/>
      <c r="O23" s="2"/>
      <c r="P23" s="2"/>
    </row>
    <row r="24" spans="2:16" s="3" customFormat="1" x14ac:dyDescent="0.3">
      <c r="B24" s="1166"/>
      <c r="C24" s="1167"/>
      <c r="D24" s="338">
        <v>42103</v>
      </c>
      <c r="E24" s="38"/>
      <c r="G24" s="2"/>
      <c r="H24" s="4"/>
      <c r="I24" s="2"/>
      <c r="J24" s="2"/>
      <c r="L24" s="2"/>
      <c r="M24" s="2"/>
      <c r="N24" s="2"/>
      <c r="O24" s="2"/>
      <c r="P24" s="2"/>
    </row>
    <row r="25" spans="2:16" s="3" customFormat="1" ht="27.75" customHeight="1" x14ac:dyDescent="0.3">
      <c r="B25" s="1166" t="s">
        <v>272</v>
      </c>
      <c r="C25" s="1167"/>
      <c r="D25" s="338">
        <v>42138</v>
      </c>
      <c r="E25" s="38"/>
      <c r="F25" s="2"/>
      <c r="G25" s="4"/>
      <c r="H25" s="2"/>
      <c r="I25" s="2"/>
      <c r="K25" s="2"/>
      <c r="L25" s="2"/>
      <c r="M25" s="2"/>
      <c r="N25" s="2" t="s">
        <v>45</v>
      </c>
      <c r="O25" s="2" t="s">
        <v>46</v>
      </c>
    </row>
    <row r="26" spans="2:16" s="3" customFormat="1" ht="32.25" customHeight="1" x14ac:dyDescent="0.3">
      <c r="B26" s="1166" t="s">
        <v>213</v>
      </c>
      <c r="C26" s="1167"/>
      <c r="D26" s="339">
        <v>42352</v>
      </c>
      <c r="E26" s="38"/>
      <c r="F26" s="2"/>
      <c r="G26" s="4"/>
      <c r="H26" s="2"/>
      <c r="I26" s="2"/>
      <c r="K26" s="2"/>
      <c r="L26" s="2"/>
      <c r="M26" s="2"/>
      <c r="N26" s="2" t="s">
        <v>47</v>
      </c>
      <c r="O26" s="2" t="s">
        <v>48</v>
      </c>
    </row>
    <row r="27" spans="2:16" s="3" customFormat="1" ht="28.5" customHeight="1" x14ac:dyDescent="0.3">
      <c r="B27" s="1166" t="s">
        <v>271</v>
      </c>
      <c r="C27" s="1167"/>
      <c r="D27" s="339">
        <v>43281</v>
      </c>
      <c r="E27" s="77"/>
      <c r="F27" s="2"/>
      <c r="G27" s="248"/>
      <c r="H27" s="2"/>
      <c r="I27" s="2"/>
      <c r="J27" s="2"/>
      <c r="K27" s="2"/>
      <c r="L27" s="2"/>
      <c r="M27" s="2"/>
      <c r="N27" s="2"/>
      <c r="O27" s="2"/>
    </row>
    <row r="28" spans="2:16" s="3" customFormat="1" ht="14.5" thickBot="1" x14ac:dyDescent="0.35">
      <c r="B28" s="128"/>
      <c r="C28" s="76" t="s">
        <v>275</v>
      </c>
      <c r="D28" s="340">
        <v>44179</v>
      </c>
      <c r="E28" s="38"/>
      <c r="F28" s="2"/>
      <c r="G28" s="4"/>
      <c r="H28" s="2"/>
      <c r="I28" s="2"/>
      <c r="J28" s="2"/>
      <c r="K28" s="2"/>
      <c r="L28" s="2"/>
      <c r="M28" s="2"/>
      <c r="N28" s="2"/>
      <c r="O28" s="2"/>
    </row>
    <row r="29" spans="2:16" s="3" customFormat="1" x14ac:dyDescent="0.3">
      <c r="B29" s="128"/>
      <c r="C29" s="80"/>
      <c r="D29" s="78"/>
      <c r="E29" s="38"/>
      <c r="F29" s="2"/>
      <c r="G29" s="4"/>
      <c r="H29" s="2"/>
      <c r="I29" s="2"/>
      <c r="J29" s="2"/>
      <c r="K29" s="2"/>
      <c r="L29" s="2"/>
      <c r="M29" s="2"/>
      <c r="N29" s="2"/>
      <c r="O29" s="2"/>
    </row>
    <row r="30" spans="2:16" s="3" customFormat="1" ht="14.5" thickBot="1" x14ac:dyDescent="0.35">
      <c r="B30" s="128"/>
      <c r="C30" s="80"/>
      <c r="D30" s="79" t="s">
        <v>49</v>
      </c>
      <c r="E30" s="38"/>
      <c r="G30" s="2"/>
      <c r="H30" s="4" t="s">
        <v>50</v>
      </c>
      <c r="I30" s="2"/>
      <c r="J30" s="2"/>
      <c r="K30" s="2"/>
      <c r="L30" s="2"/>
      <c r="M30" s="2"/>
      <c r="N30" s="2"/>
      <c r="O30" s="2"/>
      <c r="P30" s="2"/>
    </row>
    <row r="31" spans="2:16" s="3" customFormat="1" ht="90" customHeight="1" thickBot="1" x14ac:dyDescent="0.35">
      <c r="B31" s="128"/>
      <c r="C31" s="80"/>
      <c r="D31" s="629" t="s">
        <v>1343</v>
      </c>
      <c r="E31" s="38"/>
      <c r="F31" s="5"/>
      <c r="G31" s="2"/>
      <c r="H31" s="4" t="s">
        <v>51</v>
      </c>
      <c r="I31" s="2"/>
      <c r="J31" s="2"/>
      <c r="K31" s="2"/>
      <c r="L31" s="2"/>
      <c r="M31" s="2"/>
      <c r="N31" s="2"/>
      <c r="O31" s="2"/>
      <c r="P31" s="2"/>
    </row>
    <row r="32" spans="2:16" s="3" customFormat="1" ht="32.25" customHeight="1" thickBot="1" x14ac:dyDescent="0.35">
      <c r="B32" s="1166" t="s">
        <v>52</v>
      </c>
      <c r="C32" s="1168"/>
      <c r="D32" s="40"/>
      <c r="E32" s="38"/>
      <c r="G32" s="2"/>
      <c r="H32" s="4" t="s">
        <v>53</v>
      </c>
      <c r="I32" s="2"/>
      <c r="J32" s="2"/>
      <c r="K32" s="2"/>
      <c r="L32" s="2"/>
      <c r="M32" s="2"/>
      <c r="N32" s="2"/>
      <c r="O32" s="2"/>
      <c r="P32" s="2"/>
    </row>
    <row r="33" spans="1:16" s="3" customFormat="1" ht="17.25" customHeight="1" thickBot="1" x14ac:dyDescent="0.35">
      <c r="B33" s="128"/>
      <c r="C33" s="80"/>
      <c r="D33" s="346" t="s">
        <v>855</v>
      </c>
      <c r="E33" s="38"/>
      <c r="G33" s="2"/>
      <c r="H33" s="4" t="s">
        <v>54</v>
      </c>
      <c r="I33" s="2"/>
      <c r="J33" s="2"/>
      <c r="K33" s="2"/>
      <c r="L33" s="2"/>
      <c r="M33" s="2"/>
      <c r="N33" s="2"/>
      <c r="O33" s="2"/>
      <c r="P33" s="2"/>
    </row>
    <row r="34" spans="1:16" s="3" customFormat="1" x14ac:dyDescent="0.3">
      <c r="B34" s="128"/>
      <c r="C34" s="80"/>
      <c r="D34" s="40"/>
      <c r="E34" s="38"/>
      <c r="F34" s="5"/>
      <c r="G34" s="2"/>
      <c r="H34" s="4" t="s">
        <v>55</v>
      </c>
      <c r="I34" s="2"/>
      <c r="J34" s="2"/>
      <c r="K34" s="2"/>
      <c r="L34" s="2"/>
      <c r="M34" s="2"/>
      <c r="N34" s="2"/>
      <c r="O34" s="2"/>
      <c r="P34" s="2"/>
    </row>
    <row r="35" spans="1:16" s="3" customFormat="1" x14ac:dyDescent="0.3">
      <c r="B35" s="128"/>
      <c r="C35" s="132" t="s">
        <v>56</v>
      </c>
      <c r="D35" s="40"/>
      <c r="E35" s="38"/>
      <c r="G35" s="2"/>
      <c r="H35" s="4" t="s">
        <v>57</v>
      </c>
      <c r="I35" s="2"/>
      <c r="J35" s="2"/>
      <c r="K35" s="2"/>
      <c r="L35" s="2"/>
      <c r="M35" s="2"/>
      <c r="N35" s="2"/>
      <c r="O35" s="2"/>
      <c r="P35" s="2"/>
    </row>
    <row r="36" spans="1:16" s="3" customFormat="1" ht="31.5" customHeight="1" thickBot="1" x14ac:dyDescent="0.35">
      <c r="B36" s="1166" t="s">
        <v>58</v>
      </c>
      <c r="C36" s="1168"/>
      <c r="D36" s="40"/>
      <c r="E36" s="38"/>
      <c r="G36" s="2"/>
      <c r="H36" s="4" t="s">
        <v>59</v>
      </c>
      <c r="I36" s="2"/>
      <c r="J36" s="2"/>
      <c r="K36" s="2"/>
      <c r="L36" s="2"/>
      <c r="M36" s="2"/>
      <c r="N36" s="2"/>
      <c r="O36" s="2"/>
      <c r="P36" s="2"/>
    </row>
    <row r="37" spans="1:16" s="3" customFormat="1" x14ac:dyDescent="0.3">
      <c r="B37" s="128"/>
      <c r="C37" s="80" t="s">
        <v>60</v>
      </c>
      <c r="D37" s="16"/>
      <c r="E37" s="38"/>
      <c r="G37" s="2"/>
      <c r="H37" s="4" t="s">
        <v>61</v>
      </c>
      <c r="I37" s="2"/>
      <c r="J37" s="2"/>
      <c r="K37" s="2"/>
      <c r="L37" s="2"/>
      <c r="M37" s="2"/>
      <c r="N37" s="2"/>
      <c r="O37" s="2"/>
      <c r="P37" s="2"/>
    </row>
    <row r="38" spans="1:16" s="3" customFormat="1" ht="14.5" x14ac:dyDescent="0.35">
      <c r="B38" s="128"/>
      <c r="C38" s="80" t="s">
        <v>62</v>
      </c>
      <c r="D38" s="343"/>
      <c r="E38" s="38"/>
      <c r="G38" s="2"/>
      <c r="H38" s="4" t="s">
        <v>63</v>
      </c>
      <c r="I38" s="2"/>
      <c r="J38" s="2"/>
      <c r="K38" s="2"/>
      <c r="L38" s="2"/>
      <c r="M38" s="2"/>
      <c r="N38" s="2"/>
      <c r="O38" s="2"/>
      <c r="P38" s="2"/>
    </row>
    <row r="39" spans="1:16" s="3" customFormat="1" ht="14.5" thickBot="1" x14ac:dyDescent="0.35">
      <c r="B39" s="128"/>
      <c r="C39" s="80" t="s">
        <v>64</v>
      </c>
      <c r="D39" s="17"/>
      <c r="E39" s="38"/>
      <c r="G39" s="2"/>
      <c r="H39" s="4" t="s">
        <v>65</v>
      </c>
      <c r="I39" s="2"/>
      <c r="J39" s="2"/>
      <c r="K39" s="2"/>
      <c r="L39" s="2"/>
      <c r="M39" s="2"/>
      <c r="N39" s="2"/>
      <c r="O39" s="2"/>
      <c r="P39" s="2"/>
    </row>
    <row r="40" spans="1:16" s="3" customFormat="1" ht="15" customHeight="1" thickBot="1" x14ac:dyDescent="0.35">
      <c r="B40" s="128"/>
      <c r="C40" s="76" t="s">
        <v>208</v>
      </c>
      <c r="D40" s="40"/>
      <c r="E40" s="38"/>
      <c r="G40" s="2"/>
      <c r="H40" s="4" t="s">
        <v>66</v>
      </c>
      <c r="I40" s="2"/>
      <c r="J40" s="2"/>
      <c r="K40" s="2"/>
      <c r="L40" s="2"/>
      <c r="M40" s="2"/>
      <c r="N40" s="2"/>
      <c r="O40" s="2"/>
      <c r="P40" s="2"/>
    </row>
    <row r="41" spans="1:16" s="3" customFormat="1" x14ac:dyDescent="0.3">
      <c r="B41" s="128"/>
      <c r="C41" s="80" t="s">
        <v>60</v>
      </c>
      <c r="D41" s="16" t="s">
        <v>1195</v>
      </c>
      <c r="E41" s="38"/>
      <c r="G41" s="2"/>
      <c r="H41" s="4" t="s">
        <v>67</v>
      </c>
      <c r="I41" s="2"/>
      <c r="J41" s="2"/>
      <c r="K41" s="2"/>
      <c r="L41" s="2"/>
      <c r="M41" s="2"/>
      <c r="N41" s="2"/>
      <c r="O41" s="2"/>
      <c r="P41" s="2"/>
    </row>
    <row r="42" spans="1:16" s="3" customFormat="1" ht="14.5" x14ac:dyDescent="0.35">
      <c r="B42" s="128"/>
      <c r="C42" s="80" t="s">
        <v>62</v>
      </c>
      <c r="D42" s="344" t="s">
        <v>1194</v>
      </c>
      <c r="E42" s="38"/>
      <c r="G42" s="2"/>
      <c r="H42" s="4" t="s">
        <v>68</v>
      </c>
      <c r="I42" s="2"/>
      <c r="J42" s="2"/>
      <c r="K42" s="2"/>
      <c r="L42" s="2"/>
      <c r="M42" s="2"/>
      <c r="N42" s="2"/>
      <c r="O42" s="2"/>
      <c r="P42" s="2"/>
    </row>
    <row r="43" spans="1:16" s="3" customFormat="1" ht="14.5" thickBot="1" x14ac:dyDescent="0.35">
      <c r="B43" s="128"/>
      <c r="C43" s="80" t="s">
        <v>64</v>
      </c>
      <c r="D43" s="17"/>
      <c r="E43" s="38"/>
      <c r="G43" s="2"/>
      <c r="H43" s="4" t="s">
        <v>69</v>
      </c>
      <c r="I43" s="2"/>
      <c r="J43" s="2"/>
      <c r="K43" s="2"/>
      <c r="L43" s="2"/>
      <c r="M43" s="2"/>
      <c r="N43" s="2"/>
      <c r="O43" s="2"/>
      <c r="P43" s="2"/>
    </row>
    <row r="44" spans="1:16" s="3" customFormat="1" ht="14.5" thickBot="1" x14ac:dyDescent="0.35">
      <c r="B44" s="128"/>
      <c r="C44" s="76" t="s">
        <v>273</v>
      </c>
      <c r="D44" s="40"/>
      <c r="E44" s="38"/>
      <c r="G44" s="2"/>
      <c r="H44" s="4" t="s">
        <v>70</v>
      </c>
      <c r="I44" s="2"/>
      <c r="J44" s="2"/>
      <c r="K44" s="2"/>
      <c r="L44" s="2"/>
      <c r="M44" s="2"/>
      <c r="N44" s="2"/>
      <c r="O44" s="2"/>
      <c r="P44" s="2"/>
    </row>
    <row r="45" spans="1:16" s="3" customFormat="1" x14ac:dyDescent="0.3">
      <c r="B45" s="128"/>
      <c r="C45" s="80" t="s">
        <v>60</v>
      </c>
      <c r="D45" s="16" t="s">
        <v>1344</v>
      </c>
      <c r="E45" s="38"/>
      <c r="G45" s="2"/>
      <c r="H45" s="4" t="s">
        <v>71</v>
      </c>
      <c r="I45" s="2"/>
      <c r="J45" s="2"/>
      <c r="K45" s="2"/>
      <c r="L45" s="2"/>
      <c r="M45" s="2"/>
      <c r="N45" s="2"/>
      <c r="O45" s="2"/>
      <c r="P45" s="2"/>
    </row>
    <row r="46" spans="1:16" s="3" customFormat="1" ht="14.5" x14ac:dyDescent="0.35">
      <c r="B46" s="128"/>
      <c r="C46" s="80" t="s">
        <v>62</v>
      </c>
      <c r="D46" s="344" t="s">
        <v>1345</v>
      </c>
      <c r="E46" s="38"/>
      <c r="G46" s="2"/>
      <c r="H46" s="4" t="s">
        <v>72</v>
      </c>
      <c r="I46" s="2"/>
      <c r="J46" s="2"/>
      <c r="K46" s="2"/>
      <c r="L46" s="2"/>
      <c r="M46" s="2"/>
      <c r="N46" s="2"/>
      <c r="O46" s="2"/>
      <c r="P46" s="2"/>
    </row>
    <row r="47" spans="1:16" ht="14.5" thickBot="1" x14ac:dyDescent="0.35">
      <c r="A47" s="3"/>
      <c r="B47" s="128"/>
      <c r="C47" s="80" t="s">
        <v>64</v>
      </c>
      <c r="D47" s="17"/>
      <c r="E47" s="38"/>
      <c r="H47" s="4" t="s">
        <v>73</v>
      </c>
    </row>
    <row r="48" spans="1:16" ht="14.5" thickBot="1" x14ac:dyDescent="0.35">
      <c r="B48" s="128"/>
      <c r="C48" s="76" t="s">
        <v>207</v>
      </c>
      <c r="D48" s="40"/>
      <c r="E48" s="38"/>
      <c r="H48" s="4" t="s">
        <v>74</v>
      </c>
    </row>
    <row r="49" spans="2:8" x14ac:dyDescent="0.3">
      <c r="B49" s="128"/>
      <c r="C49" s="80" t="s">
        <v>60</v>
      </c>
      <c r="D49" s="16" t="s">
        <v>1178</v>
      </c>
      <c r="E49" s="38"/>
      <c r="H49" s="4" t="s">
        <v>75</v>
      </c>
    </row>
    <row r="50" spans="2:8" ht="14.5" x14ac:dyDescent="0.35">
      <c r="B50" s="128"/>
      <c r="C50" s="80" t="s">
        <v>62</v>
      </c>
      <c r="D50" s="343" t="s">
        <v>852</v>
      </c>
      <c r="E50" s="38"/>
      <c r="H50" s="4" t="s">
        <v>76</v>
      </c>
    </row>
    <row r="51" spans="2:8" ht="14.5" thickBot="1" x14ac:dyDescent="0.35">
      <c r="B51" s="128"/>
      <c r="C51" s="80" t="s">
        <v>64</v>
      </c>
      <c r="D51" s="17"/>
      <c r="E51" s="38"/>
      <c r="H51" s="4" t="s">
        <v>77</v>
      </c>
    </row>
    <row r="52" spans="2:8" ht="14.5" thickBot="1" x14ac:dyDescent="0.35">
      <c r="B52" s="128"/>
      <c r="C52" s="76" t="s">
        <v>207</v>
      </c>
      <c r="D52" s="40"/>
      <c r="E52" s="38"/>
      <c r="H52" s="4" t="s">
        <v>78</v>
      </c>
    </row>
    <row r="53" spans="2:8" x14ac:dyDescent="0.3">
      <c r="B53" s="128"/>
      <c r="C53" s="80" t="s">
        <v>60</v>
      </c>
      <c r="D53" s="16"/>
      <c r="E53" s="38"/>
      <c r="H53" s="4" t="s">
        <v>79</v>
      </c>
    </row>
    <row r="54" spans="2:8" x14ac:dyDescent="0.3">
      <c r="B54" s="128"/>
      <c r="C54" s="80" t="s">
        <v>62</v>
      </c>
      <c r="D54" s="15"/>
      <c r="E54" s="38"/>
      <c r="H54" s="4" t="s">
        <v>80</v>
      </c>
    </row>
    <row r="55" spans="2:8" ht="14.5" thickBot="1" x14ac:dyDescent="0.35">
      <c r="B55" s="128"/>
      <c r="C55" s="80" t="s">
        <v>64</v>
      </c>
      <c r="D55" s="17"/>
      <c r="E55" s="38"/>
      <c r="H55" s="4" t="s">
        <v>81</v>
      </c>
    </row>
    <row r="56" spans="2:8" ht="14.5" thickBot="1" x14ac:dyDescent="0.35">
      <c r="B56" s="128"/>
      <c r="C56" s="76" t="s">
        <v>207</v>
      </c>
      <c r="D56" s="40"/>
      <c r="E56" s="38"/>
      <c r="H56" s="4" t="s">
        <v>82</v>
      </c>
    </row>
    <row r="57" spans="2:8" x14ac:dyDescent="0.3">
      <c r="B57" s="128"/>
      <c r="C57" s="80" t="s">
        <v>60</v>
      </c>
      <c r="D57" s="16"/>
      <c r="E57" s="38"/>
      <c r="H57" s="4" t="s">
        <v>83</v>
      </c>
    </row>
    <row r="58" spans="2:8" x14ac:dyDescent="0.3">
      <c r="B58" s="128"/>
      <c r="C58" s="80" t="s">
        <v>62</v>
      </c>
      <c r="D58" s="15"/>
      <c r="E58" s="38"/>
      <c r="H58" s="4" t="s">
        <v>84</v>
      </c>
    </row>
    <row r="59" spans="2:8" ht="14.5" thickBot="1" x14ac:dyDescent="0.35">
      <c r="B59" s="128"/>
      <c r="C59" s="80" t="s">
        <v>64</v>
      </c>
      <c r="D59" s="17"/>
      <c r="E59" s="38"/>
      <c r="H59" s="4" t="s">
        <v>85</v>
      </c>
    </row>
    <row r="60" spans="2:8" ht="14.5" thickBot="1" x14ac:dyDescent="0.35">
      <c r="B60" s="133"/>
      <c r="C60" s="134"/>
      <c r="D60" s="81"/>
      <c r="E60" s="50"/>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8">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500-000000000000}">
      <formula1>$P$15:$P$26</formula1>
    </dataValidation>
    <dataValidation type="list" allowBlank="1" showInputMessage="1" showErrorMessage="1" sqref="IV65532" xr:uid="{00000000-0002-0000-0500-000001000000}">
      <formula1>$K$15:$K$19</formula1>
    </dataValidation>
    <dataValidation type="list" allowBlank="1" showInputMessage="1" showErrorMessage="1" sqref="D65533" xr:uid="{00000000-0002-0000-0500-000002000000}">
      <formula1>$O$15:$O$26</formula1>
    </dataValidation>
    <dataValidation type="list" allowBlank="1" showInputMessage="1" showErrorMessage="1" sqref="IV65525 D65525" xr:uid="{00000000-0002-0000-0500-000003000000}">
      <formula1>$I$15:$I$17</formula1>
    </dataValidation>
    <dataValidation type="list" allowBlank="1" showInputMessage="1" showErrorMessage="1" sqref="IV65526:IV65530 D65526:D65530" xr:uid="{00000000-0002-0000-0500-000004000000}">
      <formula1>$H$15:$H$177</formula1>
    </dataValidation>
  </dataValidations>
  <hyperlinks>
    <hyperlink ref="D46" r:id="rId1" display="h.felloun@ada.gov.ma " xr:uid="{00000000-0004-0000-0500-000000000000}"/>
    <hyperlink ref="D33" r:id="rId2" xr:uid="{00000000-0004-0000-0500-000001000000}"/>
    <hyperlink ref="D50" r:id="rId3" xr:uid="{00000000-0004-0000-0500-000002000000}"/>
  </hyperlinks>
  <pageMargins left="0.7" right="0.7" top="0.75" bottom="0.75" header="0.3" footer="0.3"/>
  <pageSetup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V146"/>
  <sheetViews>
    <sheetView topLeftCell="B61" zoomScale="90" zoomScaleNormal="90" workbookViewId="0">
      <selection activeCell="C1" sqref="C1"/>
    </sheetView>
  </sheetViews>
  <sheetFormatPr defaultColWidth="9.1796875" defaultRowHeight="14" x14ac:dyDescent="0.3"/>
  <cols>
    <col min="1" max="1" width="1.453125" style="19" customWidth="1"/>
    <col min="2" max="2" width="1.54296875" style="18" customWidth="1"/>
    <col min="3" max="3" width="10.453125" style="18" customWidth="1"/>
    <col min="4" max="4" width="21" style="18" customWidth="1"/>
    <col min="5" max="5" width="12" style="19" customWidth="1"/>
    <col min="6" max="7" width="13" style="19" customWidth="1"/>
    <col min="8" max="8" width="22.81640625" style="19" customWidth="1"/>
    <col min="9" max="9" width="50.81640625" style="19" customWidth="1"/>
    <col min="10" max="10" width="10.54296875" style="19" bestFit="1" customWidth="1"/>
    <col min="11" max="14" width="4.1796875" style="19" customWidth="1"/>
    <col min="15" max="15" width="6.1796875" style="19" customWidth="1"/>
    <col min="16" max="16" width="13.1796875" style="19" bestFit="1" customWidth="1"/>
    <col min="17" max="17" width="15.54296875" style="19" bestFit="1" customWidth="1"/>
    <col min="18" max="18" width="15.54296875" style="341" bestFit="1" customWidth="1"/>
    <col min="19" max="20" width="18.1796875" style="19" customWidth="1"/>
    <col min="21" max="21" width="18.453125" style="19" customWidth="1"/>
    <col min="22" max="22" width="9.453125" style="19" customWidth="1"/>
    <col min="23" max="16384" width="9.1796875" style="19"/>
  </cols>
  <sheetData>
    <row r="1" spans="2:22" ht="14.5" thickBot="1" x14ac:dyDescent="0.35">
      <c r="Q1" s="628">
        <f>'PTBA-ANDZOA'!AW69</f>
        <v>3524045.5137754441</v>
      </c>
    </row>
    <row r="2" spans="2:22" x14ac:dyDescent="0.3">
      <c r="B2" s="59"/>
      <c r="C2" s="60"/>
      <c r="D2" s="60"/>
      <c r="E2" s="61"/>
      <c r="F2" s="61"/>
      <c r="G2" s="61"/>
      <c r="H2" s="61"/>
      <c r="I2" s="61"/>
      <c r="J2" s="61"/>
      <c r="K2" s="61"/>
      <c r="L2" s="61"/>
      <c r="M2" s="61"/>
      <c r="N2" s="61"/>
      <c r="O2" s="62"/>
    </row>
    <row r="3" spans="2:22" ht="17.5" x14ac:dyDescent="0.35">
      <c r="B3" s="63"/>
      <c r="C3" s="1218" t="s">
        <v>1221</v>
      </c>
      <c r="D3" s="1219"/>
      <c r="E3" s="1219"/>
      <c r="F3" s="1219"/>
      <c r="G3" s="1219"/>
      <c r="H3" s="1219"/>
      <c r="I3" s="1219"/>
      <c r="J3" s="1219"/>
      <c r="K3" s="1219"/>
      <c r="L3" s="1219"/>
      <c r="M3" s="1219"/>
      <c r="N3" s="1219"/>
      <c r="O3" s="64"/>
    </row>
    <row r="4" spans="2:22" x14ac:dyDescent="0.3">
      <c r="B4" s="1231"/>
      <c r="C4" s="1232"/>
      <c r="D4" s="1232"/>
      <c r="E4" s="1232"/>
      <c r="F4" s="1232"/>
      <c r="G4" s="1232"/>
      <c r="H4" s="1232"/>
      <c r="I4" s="1232"/>
      <c r="J4" s="1232"/>
      <c r="K4" s="66"/>
      <c r="L4" s="66"/>
      <c r="M4" s="66"/>
      <c r="N4" s="66"/>
      <c r="O4" s="64"/>
    </row>
    <row r="5" spans="2:22" x14ac:dyDescent="0.3">
      <c r="B5" s="65"/>
      <c r="C5" s="1233"/>
      <c r="D5" s="1233"/>
      <c r="E5" s="1233"/>
      <c r="F5" s="1233"/>
      <c r="G5" s="1233"/>
      <c r="H5" s="1233"/>
      <c r="I5" s="1233"/>
      <c r="J5" s="1233"/>
      <c r="K5" s="66"/>
      <c r="L5" s="66"/>
      <c r="M5" s="66"/>
      <c r="N5" s="66"/>
      <c r="O5" s="64"/>
    </row>
    <row r="6" spans="2:22" x14ac:dyDescent="0.3">
      <c r="B6" s="65"/>
      <c r="C6" s="39"/>
      <c r="D6" s="44"/>
      <c r="E6" s="40"/>
      <c r="F6" s="40"/>
      <c r="G6" s="40"/>
      <c r="H6" s="40"/>
      <c r="I6" s="40"/>
      <c r="J6" s="66"/>
      <c r="K6" s="66"/>
      <c r="L6" s="66"/>
      <c r="M6" s="66"/>
      <c r="N6" s="66"/>
      <c r="O6" s="64"/>
    </row>
    <row r="7" spans="2:22" x14ac:dyDescent="0.3">
      <c r="B7" s="65"/>
      <c r="C7" s="1171" t="s">
        <v>234</v>
      </c>
      <c r="D7" s="1171"/>
      <c r="E7" s="41"/>
      <c r="F7" s="41"/>
      <c r="G7" s="41"/>
      <c r="H7" s="41"/>
      <c r="I7" s="41"/>
      <c r="J7" s="66"/>
      <c r="K7" s="66"/>
      <c r="L7" s="66"/>
      <c r="M7" s="66"/>
      <c r="N7" s="66"/>
      <c r="O7" s="64"/>
    </row>
    <row r="8" spans="2:22" ht="27.75" customHeight="1" thickBot="1" x14ac:dyDescent="0.35">
      <c r="B8" s="65"/>
      <c r="C8" s="1234" t="s">
        <v>243</v>
      </c>
      <c r="D8" s="1234"/>
      <c r="E8" s="1234"/>
      <c r="F8" s="1234"/>
      <c r="G8" s="1234"/>
      <c r="H8" s="1234"/>
      <c r="I8" s="1234"/>
      <c r="J8" s="1234"/>
      <c r="K8" s="66"/>
      <c r="L8" s="66"/>
      <c r="M8" s="66"/>
      <c r="N8" s="66"/>
      <c r="O8" s="64"/>
      <c r="P8" s="722"/>
    </row>
    <row r="9" spans="2:22" ht="27.75" customHeight="1" thickBot="1" x14ac:dyDescent="0.35">
      <c r="B9" s="65"/>
      <c r="C9" s="1221" t="s">
        <v>1219</v>
      </c>
      <c r="D9" s="1221"/>
      <c r="E9" s="1222">
        <f>(1695936+3524046+1313316)*0+Versements!H17</f>
        <v>9141851.3421274964</v>
      </c>
      <c r="F9" s="1223"/>
      <c r="G9" s="1223"/>
      <c r="H9" s="1223"/>
      <c r="I9" s="1223"/>
      <c r="J9" s="1224"/>
      <c r="K9" s="66"/>
      <c r="L9" s="66"/>
      <c r="M9" s="66"/>
      <c r="N9" s="66"/>
      <c r="O9" s="64"/>
    </row>
    <row r="10" spans="2:22" ht="33.75" hidden="1" customHeight="1" thickBot="1" x14ac:dyDescent="0.35">
      <c r="B10" s="65"/>
      <c r="C10" s="1221" t="s">
        <v>1220</v>
      </c>
      <c r="D10" s="1221"/>
      <c r="E10" s="1222">
        <f>1695936+3524046+1313316</f>
        <v>6533298</v>
      </c>
      <c r="F10" s="1223"/>
      <c r="G10" s="1223"/>
      <c r="H10" s="1223"/>
      <c r="I10" s="1223"/>
      <c r="J10" s="1224"/>
      <c r="K10" s="66"/>
      <c r="L10" s="66"/>
      <c r="M10" s="66"/>
      <c r="N10" s="66"/>
      <c r="O10" s="64"/>
    </row>
    <row r="11" spans="2:22" ht="72" customHeight="1" thickBot="1" x14ac:dyDescent="0.35">
      <c r="B11" s="65"/>
      <c r="C11" s="1171" t="s">
        <v>235</v>
      </c>
      <c r="D11" s="1171"/>
      <c r="E11" s="1225"/>
      <c r="F11" s="1226"/>
      <c r="G11" s="1226"/>
      <c r="H11" s="1226"/>
      <c r="I11" s="1226"/>
      <c r="J11" s="1227"/>
      <c r="K11" s="66"/>
      <c r="L11" s="66"/>
      <c r="M11" s="66"/>
      <c r="N11" s="66"/>
      <c r="O11" s="64"/>
    </row>
    <row r="12" spans="2:22" ht="14.5" thickBot="1" x14ac:dyDescent="0.35">
      <c r="B12" s="65"/>
      <c r="C12" s="44"/>
      <c r="D12" s="44"/>
      <c r="E12" s="66"/>
      <c r="F12" s="66"/>
      <c r="G12" s="66"/>
      <c r="H12" s="66"/>
      <c r="I12" s="66"/>
      <c r="J12" s="66"/>
      <c r="K12" s="66"/>
      <c r="L12" s="66"/>
      <c r="M12" s="66"/>
      <c r="N12" s="66"/>
      <c r="O12" s="64"/>
    </row>
    <row r="13" spans="2:22" ht="18.75" customHeight="1" thickBot="1" x14ac:dyDescent="0.35">
      <c r="B13" s="65"/>
      <c r="C13" s="1171" t="s">
        <v>304</v>
      </c>
      <c r="D13" s="1171"/>
      <c r="E13" s="1228">
        <f>'[7]Extrait de Compte'!$N$35/9.64460787102245</f>
        <v>45907.733722414327</v>
      </c>
      <c r="F13" s="1229"/>
      <c r="G13" s="1229"/>
      <c r="H13" s="1229"/>
      <c r="I13" s="1229"/>
      <c r="J13" s="1230"/>
      <c r="K13" s="66"/>
      <c r="L13" s="66"/>
      <c r="M13" s="66"/>
      <c r="N13" s="66"/>
      <c r="O13" s="64"/>
      <c r="Q13" s="341"/>
      <c r="S13" s="341"/>
    </row>
    <row r="14" spans="2:22" ht="15" customHeight="1" x14ac:dyDescent="0.3">
      <c r="B14" s="65"/>
      <c r="C14" s="1220" t="s">
        <v>303</v>
      </c>
      <c r="D14" s="1220"/>
      <c r="E14" s="1220"/>
      <c r="F14" s="1220"/>
      <c r="G14" s="1220"/>
      <c r="H14" s="1220"/>
      <c r="I14" s="1220"/>
      <c r="J14" s="1220"/>
      <c r="K14" s="66"/>
      <c r="L14" s="66"/>
      <c r="M14" s="66"/>
      <c r="N14" s="66"/>
      <c r="O14" s="64"/>
      <c r="S14" s="342"/>
    </row>
    <row r="15" spans="2:22" ht="15" customHeight="1" x14ac:dyDescent="0.3">
      <c r="B15" s="65"/>
      <c r="C15" s="142"/>
      <c r="D15" s="142"/>
      <c r="E15" s="142"/>
      <c r="F15" s="142"/>
      <c r="G15" s="142"/>
      <c r="H15" s="142"/>
      <c r="I15" s="142"/>
      <c r="J15" s="142"/>
      <c r="K15" s="66"/>
      <c r="L15" s="66"/>
      <c r="M15" s="66"/>
      <c r="N15" s="66"/>
      <c r="O15" s="64"/>
      <c r="S15" s="342"/>
    </row>
    <row r="16" spans="2:22" x14ac:dyDescent="0.3">
      <c r="B16" s="65"/>
      <c r="C16" s="1171" t="s">
        <v>218</v>
      </c>
      <c r="D16" s="1171"/>
      <c r="E16" s="66"/>
      <c r="F16" s="66"/>
      <c r="G16" s="66"/>
      <c r="H16" s="66"/>
      <c r="I16" s="66"/>
      <c r="J16" s="66"/>
      <c r="K16" s="66"/>
      <c r="L16" s="66"/>
      <c r="M16" s="66"/>
      <c r="N16" s="66"/>
      <c r="O16" s="64"/>
      <c r="Q16" s="20"/>
      <c r="R16" s="572"/>
      <c r="S16" s="20"/>
      <c r="T16" s="20"/>
      <c r="U16" s="20"/>
      <c r="V16" s="20"/>
    </row>
    <row r="17" spans="2:22" ht="50.15" customHeight="1" x14ac:dyDescent="0.3">
      <c r="B17" s="65"/>
      <c r="C17" s="1171" t="s">
        <v>767</v>
      </c>
      <c r="D17" s="1171"/>
      <c r="E17" s="360" t="s">
        <v>1027</v>
      </c>
      <c r="F17" s="360" t="s">
        <v>859</v>
      </c>
      <c r="G17" s="360" t="s">
        <v>1270</v>
      </c>
      <c r="H17" s="360" t="s">
        <v>1024</v>
      </c>
      <c r="I17" s="360" t="s">
        <v>865</v>
      </c>
      <c r="J17" s="360" t="s">
        <v>219</v>
      </c>
      <c r="K17" s="66"/>
      <c r="L17" s="66"/>
      <c r="M17" s="66"/>
      <c r="N17" s="66"/>
      <c r="O17" s="64"/>
      <c r="Q17" s="20"/>
      <c r="R17" s="572"/>
      <c r="S17" s="729"/>
      <c r="T17" s="729"/>
      <c r="U17" s="729"/>
      <c r="V17" s="20"/>
    </row>
    <row r="18" spans="2:22" ht="23" x14ac:dyDescent="0.3">
      <c r="B18" s="65"/>
      <c r="C18" s="728"/>
      <c r="D18" s="728"/>
      <c r="E18" s="1193" t="s">
        <v>983</v>
      </c>
      <c r="F18" s="1194" t="s">
        <v>860</v>
      </c>
      <c r="G18" s="1189" t="s">
        <v>1269</v>
      </c>
      <c r="H18" s="1195" t="s">
        <v>982</v>
      </c>
      <c r="I18" s="361" t="s">
        <v>1028</v>
      </c>
      <c r="J18" s="362">
        <f>'PTBA-ANDZOA'!Y4</f>
        <v>0</v>
      </c>
      <c r="K18" s="66"/>
      <c r="L18" s="66"/>
      <c r="M18" s="66"/>
      <c r="N18" s="66"/>
      <c r="O18" s="64"/>
      <c r="Q18" s="574"/>
      <c r="R18" s="572"/>
      <c r="S18" s="729"/>
      <c r="T18" s="729"/>
      <c r="U18" s="729"/>
      <c r="V18" s="20"/>
    </row>
    <row r="19" spans="2:22" x14ac:dyDescent="0.3">
      <c r="B19" s="65"/>
      <c r="C19" s="728"/>
      <c r="D19" s="728"/>
      <c r="E19" s="1193"/>
      <c r="F19" s="1194"/>
      <c r="G19" s="1190"/>
      <c r="H19" s="1195"/>
      <c r="I19" s="361" t="s">
        <v>1029</v>
      </c>
      <c r="J19" s="362">
        <f>'PTBA-ANDZOA'!Y5</f>
        <v>0</v>
      </c>
      <c r="K19" s="66"/>
      <c r="L19" s="66"/>
      <c r="M19" s="66"/>
      <c r="N19" s="66"/>
      <c r="O19" s="64"/>
      <c r="Q19" s="574"/>
      <c r="R19" s="572"/>
      <c r="S19" s="729"/>
      <c r="T19" s="729"/>
      <c r="U19" s="729"/>
      <c r="V19" s="20"/>
    </row>
    <row r="20" spans="2:22" x14ac:dyDescent="0.3">
      <c r="B20" s="65"/>
      <c r="C20" s="728"/>
      <c r="D20" s="728"/>
      <c r="E20" s="1193"/>
      <c r="F20" s="1194"/>
      <c r="G20" s="1190"/>
      <c r="H20" s="1195"/>
      <c r="I20" s="361" t="s">
        <v>1030</v>
      </c>
      <c r="J20" s="362">
        <f>'PTBA-ANDZOA'!Y6</f>
        <v>0</v>
      </c>
      <c r="K20" s="66"/>
      <c r="L20" s="66"/>
      <c r="M20" s="66"/>
      <c r="N20" s="66"/>
      <c r="O20" s="64"/>
      <c r="Q20" s="574"/>
      <c r="R20" s="572"/>
      <c r="S20" s="729"/>
      <c r="T20" s="729"/>
      <c r="U20" s="729"/>
      <c r="V20" s="20"/>
    </row>
    <row r="21" spans="2:22" x14ac:dyDescent="0.3">
      <c r="B21" s="65"/>
      <c r="C21" s="728"/>
      <c r="D21" s="728"/>
      <c r="E21" s="1193"/>
      <c r="F21" s="1194"/>
      <c r="G21" s="1190"/>
      <c r="H21" s="1195"/>
      <c r="I21" s="361" t="s">
        <v>975</v>
      </c>
      <c r="J21" s="362">
        <f>'PTBA-ANDZOA'!Y7</f>
        <v>0</v>
      </c>
      <c r="K21" s="66"/>
      <c r="L21" s="66"/>
      <c r="M21" s="66"/>
      <c r="N21" s="66"/>
      <c r="O21" s="64"/>
      <c r="Q21" s="574"/>
      <c r="R21" s="572"/>
      <c r="S21" s="729"/>
      <c r="T21" s="729"/>
      <c r="U21" s="729"/>
      <c r="V21" s="20"/>
    </row>
    <row r="22" spans="2:22" ht="23" x14ac:dyDescent="0.3">
      <c r="B22" s="65"/>
      <c r="C22" s="728"/>
      <c r="D22" s="728"/>
      <c r="E22" s="1193"/>
      <c r="F22" s="1194"/>
      <c r="G22" s="1190"/>
      <c r="H22" s="1195"/>
      <c r="I22" s="361" t="s">
        <v>976</v>
      </c>
      <c r="J22" s="362">
        <f>'PTBA-ANDZOA'!Y8</f>
        <v>0</v>
      </c>
      <c r="K22" s="66"/>
      <c r="L22" s="66"/>
      <c r="M22" s="66"/>
      <c r="N22" s="66"/>
      <c r="O22" s="64"/>
      <c r="Q22" s="574"/>
      <c r="R22" s="572"/>
      <c r="S22" s="729"/>
      <c r="T22" s="729"/>
      <c r="U22" s="729"/>
      <c r="V22" s="20"/>
    </row>
    <row r="23" spans="2:22" ht="23" x14ac:dyDescent="0.3">
      <c r="B23" s="65"/>
      <c r="C23" s="728"/>
      <c r="D23" s="728"/>
      <c r="E23" s="1193"/>
      <c r="F23" s="1194"/>
      <c r="G23" s="1190"/>
      <c r="H23" s="1195" t="s">
        <v>903</v>
      </c>
      <c r="I23" s="361" t="s">
        <v>1031</v>
      </c>
      <c r="J23" s="362">
        <f>'PTBA-ANDZOA'!Y9</f>
        <v>0</v>
      </c>
      <c r="K23" s="66"/>
      <c r="L23" s="66"/>
      <c r="M23" s="66"/>
      <c r="N23" s="66"/>
      <c r="O23" s="64"/>
      <c r="Q23" s="574"/>
      <c r="R23" s="572"/>
      <c r="S23" s="729"/>
      <c r="T23" s="729"/>
      <c r="U23" s="729"/>
      <c r="V23" s="20"/>
    </row>
    <row r="24" spans="2:22" x14ac:dyDescent="0.3">
      <c r="B24" s="65"/>
      <c r="C24" s="728"/>
      <c r="D24" s="728"/>
      <c r="E24" s="1193"/>
      <c r="F24" s="1194"/>
      <c r="G24" s="1190"/>
      <c r="H24" s="1195"/>
      <c r="I24" s="361" t="s">
        <v>977</v>
      </c>
      <c r="J24" s="362">
        <f>'PTBA-ANDZOA'!Y10</f>
        <v>106173.31608438355</v>
      </c>
      <c r="K24" s="66"/>
      <c r="L24" s="66"/>
      <c r="M24" s="66"/>
      <c r="N24" s="66"/>
      <c r="O24" s="64"/>
      <c r="Q24" s="574"/>
      <c r="R24" s="572"/>
      <c r="S24" s="729"/>
      <c r="T24" s="729"/>
      <c r="U24" s="729"/>
      <c r="V24" s="20"/>
    </row>
    <row r="25" spans="2:22" ht="15.65" customHeight="1" x14ac:dyDescent="0.3">
      <c r="B25" s="65"/>
      <c r="C25" s="728"/>
      <c r="D25" s="728"/>
      <c r="E25" s="1193"/>
      <c r="F25" s="1194"/>
      <c r="G25" s="1190"/>
      <c r="H25" s="1195"/>
      <c r="I25" s="361" t="s">
        <v>978</v>
      </c>
      <c r="J25" s="362">
        <f>'PTBA-ANDZOA'!Y11</f>
        <v>0</v>
      </c>
      <c r="K25" s="66"/>
      <c r="L25" s="66"/>
      <c r="M25" s="66"/>
      <c r="N25" s="66"/>
      <c r="O25" s="64"/>
      <c r="Q25" s="574"/>
      <c r="R25" s="572"/>
      <c r="S25" s="729"/>
      <c r="T25" s="729"/>
      <c r="U25" s="729"/>
      <c r="V25" s="20"/>
    </row>
    <row r="26" spans="2:22" ht="23" x14ac:dyDescent="0.3">
      <c r="B26" s="65"/>
      <c r="C26" s="728"/>
      <c r="D26" s="728"/>
      <c r="E26" s="1193"/>
      <c r="F26" s="1194"/>
      <c r="G26" s="1190"/>
      <c r="H26" s="1195" t="s">
        <v>906</v>
      </c>
      <c r="I26" s="361" t="s">
        <v>1167</v>
      </c>
      <c r="J26" s="362">
        <f>'PTBA-ANDZOA'!Y12</f>
        <v>0</v>
      </c>
      <c r="K26" s="66"/>
      <c r="L26" s="66"/>
      <c r="M26" s="66"/>
      <c r="N26" s="66"/>
      <c r="O26" s="64"/>
      <c r="Q26" s="574"/>
      <c r="R26" s="572"/>
      <c r="S26" s="729"/>
      <c r="T26" s="729"/>
      <c r="U26" s="729"/>
      <c r="V26" s="20"/>
    </row>
    <row r="27" spans="2:22" ht="23" x14ac:dyDescent="0.3">
      <c r="B27" s="65"/>
      <c r="C27" s="728"/>
      <c r="D27" s="728"/>
      <c r="E27" s="1193"/>
      <c r="F27" s="1194"/>
      <c r="G27" s="1191"/>
      <c r="H27" s="1195"/>
      <c r="I27" s="361" t="s">
        <v>993</v>
      </c>
      <c r="J27" s="362">
        <f>'PTBA-ANDZOA'!Y13</f>
        <v>0</v>
      </c>
      <c r="K27" s="66"/>
      <c r="L27" s="66"/>
      <c r="M27" s="66"/>
      <c r="N27" s="66"/>
      <c r="O27" s="64"/>
      <c r="Q27" s="574"/>
      <c r="R27" s="572"/>
      <c r="S27" s="729"/>
      <c r="T27" s="729"/>
      <c r="U27" s="729"/>
      <c r="V27" s="20"/>
    </row>
    <row r="28" spans="2:22" ht="23" x14ac:dyDescent="0.3">
      <c r="B28" s="65"/>
      <c r="C28" s="728"/>
      <c r="D28" s="728"/>
      <c r="E28" s="1193"/>
      <c r="F28" s="1194"/>
      <c r="G28" s="1189" t="s">
        <v>1271</v>
      </c>
      <c r="H28" s="1195" t="s">
        <v>910</v>
      </c>
      <c r="I28" s="361" t="s">
        <v>979</v>
      </c>
      <c r="J28" s="362">
        <f>'PTBA-ANDZOA'!Y14</f>
        <v>0</v>
      </c>
      <c r="K28" s="66"/>
      <c r="L28" s="66"/>
      <c r="M28" s="66"/>
      <c r="N28" s="66"/>
      <c r="O28" s="64"/>
      <c r="Q28" s="574"/>
      <c r="R28" s="572"/>
      <c r="S28" s="729"/>
      <c r="T28" s="729"/>
      <c r="U28" s="729"/>
      <c r="V28" s="20"/>
    </row>
    <row r="29" spans="2:22" ht="16.5" customHeight="1" x14ac:dyDescent="0.3">
      <c r="B29" s="65"/>
      <c r="C29" s="728"/>
      <c r="D29" s="728"/>
      <c r="E29" s="1193"/>
      <c r="F29" s="1194"/>
      <c r="G29" s="1190"/>
      <c r="H29" s="1195"/>
      <c r="I29" s="361" t="s">
        <v>1034</v>
      </c>
      <c r="J29" s="362">
        <f>'PTBA-ANDZOA'!Y15</f>
        <v>0</v>
      </c>
      <c r="K29" s="66"/>
      <c r="L29" s="66"/>
      <c r="M29" s="66"/>
      <c r="N29" s="66"/>
      <c r="O29" s="64"/>
      <c r="Q29" s="574"/>
      <c r="R29" s="572"/>
      <c r="S29" s="729"/>
      <c r="T29" s="729"/>
      <c r="U29" s="729"/>
      <c r="V29" s="20"/>
    </row>
    <row r="30" spans="2:22" ht="16.5" customHeight="1" x14ac:dyDescent="0.3">
      <c r="B30" s="65"/>
      <c r="C30" s="728"/>
      <c r="D30" s="728"/>
      <c r="E30" s="1193"/>
      <c r="F30" s="1194"/>
      <c r="G30" s="1190"/>
      <c r="H30" s="1195" t="s">
        <v>913</v>
      </c>
      <c r="I30" s="361" t="s">
        <v>980</v>
      </c>
      <c r="J30" s="362">
        <f>'PTBA-ANDZOA'!Y16</f>
        <v>0</v>
      </c>
      <c r="K30" s="66"/>
      <c r="L30" s="66"/>
      <c r="M30" s="66"/>
      <c r="N30" s="66"/>
      <c r="O30" s="64"/>
      <c r="Q30" s="574"/>
      <c r="R30" s="572"/>
      <c r="S30" s="729"/>
      <c r="T30" s="729"/>
      <c r="U30" s="729"/>
      <c r="V30" s="20"/>
    </row>
    <row r="31" spans="2:22" ht="23" x14ac:dyDescent="0.3">
      <c r="B31" s="65"/>
      <c r="C31" s="728"/>
      <c r="D31" s="728"/>
      <c r="E31" s="1193"/>
      <c r="F31" s="1194"/>
      <c r="G31" s="1191"/>
      <c r="H31" s="1195"/>
      <c r="I31" s="361" t="s">
        <v>981</v>
      </c>
      <c r="J31" s="362">
        <f>'PTBA-ANDZOA'!Y17</f>
        <v>0</v>
      </c>
      <c r="K31" s="66"/>
      <c r="L31" s="66"/>
      <c r="M31" s="66"/>
      <c r="N31" s="66"/>
      <c r="O31" s="64"/>
      <c r="Q31" s="574"/>
      <c r="R31" s="572"/>
      <c r="S31" s="729"/>
      <c r="T31" s="729"/>
      <c r="U31" s="729"/>
      <c r="V31" s="20"/>
    </row>
    <row r="32" spans="2:22" x14ac:dyDescent="0.3">
      <c r="B32" s="65"/>
      <c r="C32" s="728"/>
      <c r="D32" s="728"/>
      <c r="E32" s="1204" t="s">
        <v>866</v>
      </c>
      <c r="F32" s="1205"/>
      <c r="G32" s="1205"/>
      <c r="H32" s="1205"/>
      <c r="I32" s="1206"/>
      <c r="J32" s="352">
        <f>SUM(J18:J31)</f>
        <v>106173.31608438355</v>
      </c>
      <c r="K32" s="66"/>
      <c r="L32" s="66"/>
      <c r="M32" s="66"/>
      <c r="N32" s="66"/>
      <c r="O32" s="64"/>
      <c r="Q32" s="574"/>
      <c r="R32" s="572"/>
      <c r="S32" s="729"/>
      <c r="T32" s="729"/>
      <c r="U32" s="729"/>
      <c r="V32" s="20"/>
    </row>
    <row r="33" spans="2:22" ht="23" x14ac:dyDescent="0.3">
      <c r="B33" s="65"/>
      <c r="C33" s="728"/>
      <c r="D33" s="728"/>
      <c r="E33" s="1193" t="s">
        <v>1025</v>
      </c>
      <c r="F33" s="1207" t="s">
        <v>861</v>
      </c>
      <c r="G33" s="1189" t="s">
        <v>1272</v>
      </c>
      <c r="H33" s="1195" t="s">
        <v>917</v>
      </c>
      <c r="I33" s="361" t="s">
        <v>984</v>
      </c>
      <c r="J33" s="362">
        <f>'PTBA-ANDZOA'!Y19</f>
        <v>0</v>
      </c>
      <c r="K33" s="66"/>
      <c r="L33" s="66"/>
      <c r="M33" s="66"/>
      <c r="N33" s="66"/>
      <c r="O33" s="64"/>
      <c r="Q33" s="574"/>
      <c r="R33" s="572"/>
      <c r="S33" s="729"/>
      <c r="T33" s="729"/>
      <c r="U33" s="729"/>
      <c r="V33" s="20"/>
    </row>
    <row r="34" spans="2:22" ht="23" x14ac:dyDescent="0.3">
      <c r="B34" s="65"/>
      <c r="C34" s="728"/>
      <c r="D34" s="728"/>
      <c r="E34" s="1193"/>
      <c r="F34" s="1208"/>
      <c r="G34" s="1190"/>
      <c r="H34" s="1195"/>
      <c r="I34" s="361" t="s">
        <v>985</v>
      </c>
      <c r="J34" s="362">
        <f>'PTBA-ANDZOA'!Y20</f>
        <v>0</v>
      </c>
      <c r="K34" s="66"/>
      <c r="L34" s="66"/>
      <c r="M34" s="66"/>
      <c r="N34" s="66"/>
      <c r="O34" s="64"/>
      <c r="Q34" s="574"/>
      <c r="R34" s="572"/>
      <c r="S34" s="729"/>
      <c r="T34" s="729"/>
      <c r="U34" s="729"/>
      <c r="V34" s="20"/>
    </row>
    <row r="35" spans="2:22" x14ac:dyDescent="0.3">
      <c r="B35" s="65"/>
      <c r="C35" s="728"/>
      <c r="D35" s="728"/>
      <c r="E35" s="1193"/>
      <c r="F35" s="1208"/>
      <c r="G35" s="1190"/>
      <c r="H35" s="1195" t="s">
        <v>920</v>
      </c>
      <c r="I35" s="361" t="s">
        <v>986</v>
      </c>
      <c r="J35" s="362">
        <f>'PTBA-ANDZOA'!Y21</f>
        <v>96219.567701472595</v>
      </c>
      <c r="K35" s="66"/>
      <c r="L35" s="66"/>
      <c r="M35" s="66"/>
      <c r="N35" s="66"/>
      <c r="O35" s="64"/>
      <c r="Q35" s="574"/>
      <c r="R35" s="572"/>
      <c r="S35" s="729"/>
      <c r="T35" s="729"/>
      <c r="U35" s="729"/>
      <c r="V35" s="20"/>
    </row>
    <row r="36" spans="2:22" x14ac:dyDescent="0.3">
      <c r="B36" s="65"/>
      <c r="C36" s="728"/>
      <c r="D36" s="728"/>
      <c r="E36" s="1193"/>
      <c r="F36" s="1208"/>
      <c r="G36" s="1190"/>
      <c r="H36" s="1195"/>
      <c r="I36" s="361" t="s">
        <v>987</v>
      </c>
      <c r="J36" s="362">
        <f>'PTBA-ANDZOA'!Y22</f>
        <v>0</v>
      </c>
      <c r="K36" s="66"/>
      <c r="L36" s="66"/>
      <c r="M36" s="66"/>
      <c r="N36" s="66"/>
      <c r="O36" s="64"/>
      <c r="Q36" s="574"/>
      <c r="R36" s="572"/>
      <c r="S36" s="729"/>
      <c r="T36" s="729"/>
      <c r="U36" s="729"/>
      <c r="V36" s="20"/>
    </row>
    <row r="37" spans="2:22" x14ac:dyDescent="0.3">
      <c r="B37" s="65"/>
      <c r="C37" s="728"/>
      <c r="D37" s="728"/>
      <c r="E37" s="1193"/>
      <c r="F37" s="1208"/>
      <c r="G37" s="1190"/>
      <c r="H37" s="1195"/>
      <c r="I37" s="361" t="s">
        <v>988</v>
      </c>
      <c r="J37" s="362">
        <f>'PTBA-ANDZOA'!Y23</f>
        <v>0</v>
      </c>
      <c r="K37" s="66"/>
      <c r="L37" s="66"/>
      <c r="M37" s="66"/>
      <c r="N37" s="66"/>
      <c r="O37" s="64"/>
      <c r="Q37" s="574"/>
      <c r="R37" s="572"/>
      <c r="S37" s="729"/>
      <c r="T37" s="729"/>
      <c r="U37" s="729"/>
      <c r="V37" s="20"/>
    </row>
    <row r="38" spans="2:22" ht="23" x14ac:dyDescent="0.3">
      <c r="B38" s="65"/>
      <c r="C38" s="728"/>
      <c r="D38" s="728"/>
      <c r="E38" s="1193"/>
      <c r="F38" s="1208"/>
      <c r="G38" s="1189" t="s">
        <v>1273</v>
      </c>
      <c r="H38" s="1195" t="s">
        <v>924</v>
      </c>
      <c r="I38" s="361" t="s">
        <v>989</v>
      </c>
      <c r="J38" s="362">
        <f>'PTBA-ANDZOA'!Y24</f>
        <v>0</v>
      </c>
      <c r="K38" s="66"/>
      <c r="L38" s="66"/>
      <c r="M38" s="66"/>
      <c r="N38" s="66"/>
      <c r="O38" s="64"/>
      <c r="Q38" s="574"/>
      <c r="R38" s="572"/>
      <c r="S38" s="729"/>
      <c r="T38" s="729"/>
      <c r="U38" s="729"/>
      <c r="V38" s="20"/>
    </row>
    <row r="39" spans="2:22" x14ac:dyDescent="0.3">
      <c r="B39" s="65"/>
      <c r="C39" s="728"/>
      <c r="D39" s="728"/>
      <c r="E39" s="1193"/>
      <c r="F39" s="1208"/>
      <c r="G39" s="1190"/>
      <c r="H39" s="1195"/>
      <c r="I39" s="361" t="s">
        <v>990</v>
      </c>
      <c r="J39" s="362">
        <f>'PTBA-ANDZOA'!Y25</f>
        <v>0</v>
      </c>
      <c r="K39" s="66"/>
      <c r="L39" s="66"/>
      <c r="M39" s="66"/>
      <c r="N39" s="66"/>
      <c r="O39" s="64"/>
      <c r="Q39" s="574"/>
      <c r="R39" s="572"/>
      <c r="S39" s="729"/>
      <c r="T39" s="729"/>
      <c r="U39" s="729"/>
      <c r="V39" s="20"/>
    </row>
    <row r="40" spans="2:22" x14ac:dyDescent="0.3">
      <c r="B40" s="65"/>
      <c r="C40" s="728"/>
      <c r="D40" s="728"/>
      <c r="E40" s="1193"/>
      <c r="F40" s="1208"/>
      <c r="G40" s="1190"/>
      <c r="H40" s="1195" t="s">
        <v>927</v>
      </c>
      <c r="I40" s="361" t="s">
        <v>991</v>
      </c>
      <c r="J40" s="362">
        <f>'PTBA-ANDZOA'!Y26</f>
        <v>370272.20478974219</v>
      </c>
      <c r="K40" s="66"/>
      <c r="L40" s="66"/>
      <c r="M40" s="66"/>
      <c r="N40" s="66"/>
      <c r="O40" s="64"/>
      <c r="Q40" s="574"/>
      <c r="R40" s="572"/>
      <c r="S40" s="729"/>
      <c r="T40" s="729"/>
      <c r="U40" s="729"/>
      <c r="V40" s="20"/>
    </row>
    <row r="41" spans="2:22" x14ac:dyDescent="0.3">
      <c r="B41" s="65"/>
      <c r="C41" s="728"/>
      <c r="D41" s="728"/>
      <c r="E41" s="1193"/>
      <c r="F41" s="1209"/>
      <c r="G41" s="1191"/>
      <c r="H41" s="1195"/>
      <c r="I41" s="361" t="s">
        <v>992</v>
      </c>
      <c r="J41" s="362">
        <f>'PTBA-ANDZOA'!Y27</f>
        <v>0</v>
      </c>
      <c r="K41" s="66"/>
      <c r="L41" s="66"/>
      <c r="M41" s="66"/>
      <c r="N41" s="66"/>
      <c r="O41" s="64"/>
      <c r="Q41" s="574"/>
      <c r="R41" s="572"/>
      <c r="S41" s="729"/>
      <c r="T41" s="729"/>
      <c r="U41" s="729"/>
      <c r="V41" s="20"/>
    </row>
    <row r="42" spans="2:22" ht="18.75" customHeight="1" x14ac:dyDescent="0.3">
      <c r="B42" s="65"/>
      <c r="C42" s="728"/>
      <c r="D42" s="728"/>
      <c r="E42" s="1204" t="s">
        <v>868</v>
      </c>
      <c r="F42" s="1205"/>
      <c r="G42" s="1205"/>
      <c r="H42" s="1205"/>
      <c r="I42" s="1206"/>
      <c r="J42" s="352">
        <f>SUM(J33:J41)</f>
        <v>466491.7724912148</v>
      </c>
      <c r="K42" s="66"/>
      <c r="L42" s="66"/>
      <c r="M42" s="66"/>
      <c r="N42" s="66"/>
      <c r="O42" s="64"/>
      <c r="Q42" s="574"/>
      <c r="R42" s="572"/>
      <c r="S42" s="729"/>
      <c r="T42" s="729"/>
      <c r="U42" s="729"/>
      <c r="V42" s="20"/>
    </row>
    <row r="43" spans="2:22" x14ac:dyDescent="0.3">
      <c r="B43" s="65"/>
      <c r="C43" s="728"/>
      <c r="D43" s="728"/>
      <c r="E43" s="1193" t="s">
        <v>1026</v>
      </c>
      <c r="F43" s="1207" t="s">
        <v>862</v>
      </c>
      <c r="G43" s="1192" t="s">
        <v>1274</v>
      </c>
      <c r="H43" s="1195" t="s">
        <v>932</v>
      </c>
      <c r="I43" s="363" t="s">
        <v>994</v>
      </c>
      <c r="J43" s="362">
        <f>'PTBA-ANDZOA'!Y29</f>
        <v>0</v>
      </c>
      <c r="K43" s="66"/>
      <c r="L43" s="66"/>
      <c r="M43" s="66"/>
      <c r="N43" s="66"/>
      <c r="O43" s="64"/>
      <c r="Q43" s="574"/>
      <c r="R43" s="572"/>
      <c r="S43" s="729"/>
      <c r="T43" s="729"/>
      <c r="U43" s="729"/>
      <c r="V43" s="20"/>
    </row>
    <row r="44" spans="2:22" ht="23" x14ac:dyDescent="0.3">
      <c r="B44" s="65"/>
      <c r="C44" s="728"/>
      <c r="D44" s="728"/>
      <c r="E44" s="1193"/>
      <c r="F44" s="1208"/>
      <c r="G44" s="1192"/>
      <c r="H44" s="1195"/>
      <c r="I44" s="363" t="s">
        <v>995</v>
      </c>
      <c r="J44" s="362">
        <f>'PTBA-ANDZOA'!Y30</f>
        <v>602782.41248844936</v>
      </c>
      <c r="K44" s="66"/>
      <c r="L44" s="66"/>
      <c r="M44" s="66"/>
      <c r="N44" s="66"/>
      <c r="O44" s="64"/>
      <c r="Q44" s="574"/>
      <c r="R44" s="572"/>
      <c r="S44" s="729"/>
      <c r="T44" s="729"/>
      <c r="U44" s="729"/>
      <c r="V44" s="20"/>
    </row>
    <row r="45" spans="2:22" ht="23" x14ac:dyDescent="0.3">
      <c r="B45" s="65"/>
      <c r="C45" s="728"/>
      <c r="D45" s="728"/>
      <c r="E45" s="1193"/>
      <c r="F45" s="1208"/>
      <c r="G45" s="1192"/>
      <c r="H45" s="1195"/>
      <c r="I45" s="363" t="s">
        <v>996</v>
      </c>
      <c r="J45" s="362">
        <f>'PTBA-ANDZOA'!Y31</f>
        <v>0</v>
      </c>
      <c r="K45" s="66"/>
      <c r="L45" s="66"/>
      <c r="M45" s="66"/>
      <c r="N45" s="66"/>
      <c r="O45" s="64"/>
      <c r="Q45" s="574"/>
      <c r="R45" s="572"/>
      <c r="S45" s="729"/>
      <c r="T45" s="729"/>
      <c r="U45" s="729"/>
      <c r="V45" s="20"/>
    </row>
    <row r="46" spans="2:22" x14ac:dyDescent="0.3">
      <c r="B46" s="65"/>
      <c r="C46" s="728"/>
      <c r="D46" s="728"/>
      <c r="E46" s="1193"/>
      <c r="F46" s="1208"/>
      <c r="G46" s="1192"/>
      <c r="H46" s="1195" t="s">
        <v>935</v>
      </c>
      <c r="I46" s="363" t="s">
        <v>997</v>
      </c>
      <c r="J46" s="362">
        <f>'PTBA-ANDZOA'!Y32</f>
        <v>0</v>
      </c>
      <c r="K46" s="66"/>
      <c r="L46" s="66"/>
      <c r="M46" s="66"/>
      <c r="N46" s="66"/>
      <c r="O46" s="64"/>
      <c r="Q46" s="574"/>
      <c r="R46" s="572"/>
      <c r="S46" s="729"/>
      <c r="T46" s="729"/>
      <c r="U46" s="729"/>
      <c r="V46" s="20"/>
    </row>
    <row r="47" spans="2:22" ht="23" x14ac:dyDescent="0.3">
      <c r="B47" s="65"/>
      <c r="C47" s="728"/>
      <c r="D47" s="728"/>
      <c r="E47" s="1193"/>
      <c r="F47" s="1208"/>
      <c r="G47" s="1192"/>
      <c r="H47" s="1195"/>
      <c r="I47" s="363" t="s">
        <v>998</v>
      </c>
      <c r="J47" s="362">
        <f>'PTBA-ANDZOA'!Y33</f>
        <v>0</v>
      </c>
      <c r="K47" s="66"/>
      <c r="L47" s="66"/>
      <c r="M47" s="66"/>
      <c r="N47" s="66"/>
      <c r="O47" s="64"/>
      <c r="Q47" s="574"/>
      <c r="R47" s="572"/>
      <c r="S47" s="729"/>
      <c r="T47" s="729"/>
      <c r="U47" s="729"/>
      <c r="V47" s="20"/>
    </row>
    <row r="48" spans="2:22" x14ac:dyDescent="0.3">
      <c r="B48" s="65"/>
      <c r="C48" s="728"/>
      <c r="D48" s="728"/>
      <c r="E48" s="1193"/>
      <c r="F48" s="1208"/>
      <c r="G48" s="1192"/>
      <c r="H48" s="1195"/>
      <c r="I48" s="363" t="s">
        <v>999</v>
      </c>
      <c r="J48" s="362">
        <f>'PTBA-ANDZOA'!Y34</f>
        <v>102644.89676541582</v>
      </c>
      <c r="K48" s="66"/>
      <c r="L48" s="66"/>
      <c r="M48" s="66"/>
      <c r="N48" s="66"/>
      <c r="O48" s="64"/>
      <c r="Q48" s="574"/>
      <c r="R48" s="572"/>
      <c r="S48" s="729"/>
      <c r="T48" s="729"/>
      <c r="U48" s="729"/>
      <c r="V48" s="20"/>
    </row>
    <row r="49" spans="2:22" ht="23" x14ac:dyDescent="0.3">
      <c r="B49" s="65"/>
      <c r="C49" s="728"/>
      <c r="D49" s="728"/>
      <c r="E49" s="1193"/>
      <c r="F49" s="1208"/>
      <c r="G49" s="1190" t="s">
        <v>1275</v>
      </c>
      <c r="H49" s="1195" t="s">
        <v>939</v>
      </c>
      <c r="I49" s="363" t="s">
        <v>1000</v>
      </c>
      <c r="J49" s="362">
        <f>'PTBA-ANDZOA'!Y35</f>
        <v>0</v>
      </c>
      <c r="K49" s="66"/>
      <c r="L49" s="66"/>
      <c r="M49" s="66"/>
      <c r="N49" s="66"/>
      <c r="O49" s="64"/>
      <c r="Q49" s="574"/>
      <c r="R49" s="572"/>
      <c r="S49" s="729"/>
      <c r="T49" s="729"/>
      <c r="U49" s="729"/>
      <c r="V49" s="20"/>
    </row>
    <row r="50" spans="2:22" x14ac:dyDescent="0.3">
      <c r="B50" s="65"/>
      <c r="C50" s="728"/>
      <c r="D50" s="728"/>
      <c r="E50" s="1193"/>
      <c r="F50" s="1208"/>
      <c r="G50" s="1190"/>
      <c r="H50" s="1195"/>
      <c r="I50" s="363" t="s">
        <v>1001</v>
      </c>
      <c r="J50" s="362">
        <f>'PTBA-ANDZOA'!Y36</f>
        <v>0</v>
      </c>
      <c r="K50" s="66"/>
      <c r="L50" s="66"/>
      <c r="M50" s="66"/>
      <c r="N50" s="66"/>
      <c r="O50" s="64"/>
      <c r="Q50" s="574"/>
      <c r="R50" s="572"/>
      <c r="S50" s="729"/>
      <c r="T50" s="729"/>
      <c r="U50" s="729"/>
      <c r="V50" s="20"/>
    </row>
    <row r="51" spans="2:22" ht="23" x14ac:dyDescent="0.3">
      <c r="B51" s="65"/>
      <c r="C51" s="728"/>
      <c r="D51" s="728"/>
      <c r="E51" s="1193"/>
      <c r="F51" s="1208"/>
      <c r="G51" s="1190"/>
      <c r="H51" s="1195" t="s">
        <v>942</v>
      </c>
      <c r="I51" s="363" t="s">
        <v>1002</v>
      </c>
      <c r="J51" s="362">
        <f>'PTBA-ANDZOA'!Y37</f>
        <v>0</v>
      </c>
      <c r="K51" s="66"/>
      <c r="L51" s="66"/>
      <c r="M51" s="66"/>
      <c r="N51" s="66"/>
      <c r="O51" s="64"/>
      <c r="Q51" s="574"/>
      <c r="R51" s="572"/>
      <c r="S51" s="729"/>
      <c r="T51" s="729"/>
      <c r="U51" s="729"/>
      <c r="V51" s="20"/>
    </row>
    <row r="52" spans="2:22" x14ac:dyDescent="0.3">
      <c r="B52" s="65"/>
      <c r="C52" s="728"/>
      <c r="D52" s="728"/>
      <c r="E52" s="1193"/>
      <c r="F52" s="1209"/>
      <c r="G52" s="1191"/>
      <c r="H52" s="1195"/>
      <c r="I52" s="363" t="s">
        <v>1003</v>
      </c>
      <c r="J52" s="362">
        <f>'PTBA-ANDZOA'!Y38</f>
        <v>0</v>
      </c>
      <c r="K52" s="66"/>
      <c r="L52" s="66"/>
      <c r="M52" s="66"/>
      <c r="N52" s="66"/>
      <c r="O52" s="64"/>
      <c r="Q52" s="574"/>
      <c r="R52" s="572"/>
      <c r="S52" s="729"/>
      <c r="T52" s="729"/>
      <c r="U52" s="729"/>
      <c r="V52" s="20"/>
    </row>
    <row r="53" spans="2:22" ht="18.75" customHeight="1" x14ac:dyDescent="0.3">
      <c r="B53" s="65"/>
      <c r="C53" s="728"/>
      <c r="D53" s="728"/>
      <c r="E53" s="1204" t="s">
        <v>867</v>
      </c>
      <c r="F53" s="1205"/>
      <c r="G53" s="1205"/>
      <c r="H53" s="1205"/>
      <c r="I53" s="1206"/>
      <c r="J53" s="352">
        <f>SUM(J43:J52)</f>
        <v>705427.30925386515</v>
      </c>
      <c r="K53" s="66"/>
      <c r="L53" s="66"/>
      <c r="M53" s="66"/>
      <c r="N53" s="66"/>
      <c r="O53" s="64"/>
      <c r="Q53" s="574"/>
      <c r="R53" s="572"/>
      <c r="S53" s="729"/>
      <c r="T53" s="729"/>
      <c r="U53" s="729"/>
      <c r="V53" s="20"/>
    </row>
    <row r="54" spans="2:22" x14ac:dyDescent="0.3">
      <c r="B54" s="65"/>
      <c r="C54" s="728"/>
      <c r="D54" s="728"/>
      <c r="E54" s="1212" t="s">
        <v>1023</v>
      </c>
      <c r="F54" s="1207" t="s">
        <v>863</v>
      </c>
      <c r="G54" s="1189" t="s">
        <v>1276</v>
      </c>
      <c r="H54" s="1217" t="s">
        <v>947</v>
      </c>
      <c r="I54" s="363" t="s">
        <v>1004</v>
      </c>
      <c r="J54" s="362">
        <f>'PTBA-ANDZOA'!Y44</f>
        <v>0</v>
      </c>
      <c r="K54" s="66"/>
      <c r="L54" s="66"/>
      <c r="M54" s="66"/>
      <c r="N54" s="66"/>
      <c r="O54" s="64"/>
      <c r="Q54" s="574"/>
      <c r="R54" s="572"/>
      <c r="S54" s="729"/>
      <c r="T54" s="729"/>
      <c r="U54" s="729"/>
      <c r="V54" s="20"/>
    </row>
    <row r="55" spans="2:22" ht="23.5" customHeight="1" x14ac:dyDescent="0.3">
      <c r="B55" s="65"/>
      <c r="C55" s="728"/>
      <c r="D55" s="728"/>
      <c r="E55" s="1213"/>
      <c r="F55" s="1215"/>
      <c r="G55" s="1190"/>
      <c r="H55" s="1211"/>
      <c r="I55" s="363" t="s">
        <v>1012</v>
      </c>
      <c r="J55" s="362">
        <f>'PTBA-ANDZOA'!Y45</f>
        <v>0</v>
      </c>
      <c r="K55" s="66"/>
      <c r="L55" s="66"/>
      <c r="M55" s="66"/>
      <c r="N55" s="66"/>
      <c r="O55" s="64"/>
      <c r="Q55" s="574"/>
      <c r="R55" s="572"/>
      <c r="S55" s="729"/>
      <c r="T55" s="729"/>
      <c r="U55" s="729"/>
      <c r="V55" s="20"/>
    </row>
    <row r="56" spans="2:22" ht="14.5" customHeight="1" x14ac:dyDescent="0.3">
      <c r="B56" s="65"/>
      <c r="C56" s="728"/>
      <c r="D56" s="728"/>
      <c r="E56" s="1213"/>
      <c r="F56" s="1215"/>
      <c r="G56" s="1190"/>
      <c r="H56" s="1217" t="s">
        <v>950</v>
      </c>
      <c r="I56" s="363" t="s">
        <v>1005</v>
      </c>
      <c r="J56" s="362">
        <f>'PTBA-ANDZOA'!Y46</f>
        <v>0</v>
      </c>
      <c r="K56" s="66"/>
      <c r="L56" s="66"/>
      <c r="M56" s="66"/>
      <c r="N56" s="66"/>
      <c r="O56" s="64"/>
      <c r="Q56" s="574"/>
      <c r="R56" s="572"/>
      <c r="S56" s="729"/>
      <c r="T56" s="729"/>
      <c r="U56" s="729"/>
      <c r="V56" s="20"/>
    </row>
    <row r="57" spans="2:22" ht="23.5" customHeight="1" x14ac:dyDescent="0.3">
      <c r="B57" s="65"/>
      <c r="C57" s="728"/>
      <c r="D57" s="728"/>
      <c r="E57" s="1213"/>
      <c r="F57" s="1215"/>
      <c r="G57" s="1190"/>
      <c r="H57" s="1211"/>
      <c r="I57" s="363" t="s">
        <v>1006</v>
      </c>
      <c r="J57" s="362">
        <f>'PTBA-ANDZOA'!Y47</f>
        <v>15095.925895725493</v>
      </c>
      <c r="K57" s="66"/>
      <c r="L57" s="66"/>
      <c r="M57" s="66"/>
      <c r="N57" s="66"/>
      <c r="O57" s="64"/>
      <c r="Q57" s="574"/>
      <c r="R57" s="572"/>
      <c r="S57" s="729"/>
      <c r="T57" s="729"/>
      <c r="U57" s="729"/>
      <c r="V57" s="20"/>
    </row>
    <row r="58" spans="2:22" ht="14.5" customHeight="1" x14ac:dyDescent="0.3">
      <c r="B58" s="65"/>
      <c r="C58" s="728"/>
      <c r="D58" s="728"/>
      <c r="E58" s="1213"/>
      <c r="F58" s="1215"/>
      <c r="G58" s="1197" t="s">
        <v>1277</v>
      </c>
      <c r="H58" s="1217" t="s">
        <v>1013</v>
      </c>
      <c r="I58" s="363" t="s">
        <v>1007</v>
      </c>
      <c r="J58" s="362">
        <f>'PTBA-ANDZOA'!Y48</f>
        <v>0</v>
      </c>
      <c r="K58" s="66"/>
      <c r="L58" s="66"/>
      <c r="M58" s="66"/>
      <c r="N58" s="66"/>
      <c r="O58" s="64"/>
      <c r="Q58" s="574"/>
      <c r="R58" s="572"/>
      <c r="S58" s="729"/>
      <c r="T58" s="729"/>
      <c r="U58" s="729"/>
      <c r="V58" s="20"/>
    </row>
    <row r="59" spans="2:22" ht="14.5" customHeight="1" x14ac:dyDescent="0.3">
      <c r="B59" s="65"/>
      <c r="C59" s="728"/>
      <c r="D59" s="728"/>
      <c r="E59" s="1213"/>
      <c r="F59" s="1215"/>
      <c r="G59" s="1198"/>
      <c r="H59" s="1210"/>
      <c r="I59" s="363" t="s">
        <v>1008</v>
      </c>
      <c r="J59" s="362">
        <f>'PTBA-ANDZOA'!Y49</f>
        <v>10063.950597150328</v>
      </c>
      <c r="K59" s="66"/>
      <c r="L59" s="66"/>
      <c r="M59" s="66"/>
      <c r="N59" s="66"/>
      <c r="O59" s="64"/>
      <c r="Q59" s="574"/>
      <c r="R59" s="572"/>
      <c r="S59" s="729"/>
      <c r="T59" s="729"/>
      <c r="U59" s="729"/>
      <c r="V59" s="20"/>
    </row>
    <row r="60" spans="2:22" ht="14.5" customHeight="1" x14ac:dyDescent="0.3">
      <c r="B60" s="65"/>
      <c r="C60" s="728"/>
      <c r="D60" s="728"/>
      <c r="E60" s="1213"/>
      <c r="F60" s="1215"/>
      <c r="G60" s="1198"/>
      <c r="H60" s="1211"/>
      <c r="I60" s="363" t="s">
        <v>1009</v>
      </c>
      <c r="J60" s="362">
        <f>'PTBA-ANDZOA'!Y50</f>
        <v>0</v>
      </c>
      <c r="K60" s="66"/>
      <c r="L60" s="66"/>
      <c r="M60" s="66"/>
      <c r="N60" s="66"/>
      <c r="O60" s="64"/>
      <c r="Q60" s="574"/>
      <c r="R60" s="572"/>
      <c r="S60" s="729"/>
      <c r="T60" s="729"/>
      <c r="U60" s="729"/>
      <c r="V60" s="20"/>
    </row>
    <row r="61" spans="2:22" ht="14.5" customHeight="1" x14ac:dyDescent="0.3">
      <c r="B61" s="65"/>
      <c r="C61" s="728"/>
      <c r="D61" s="728"/>
      <c r="E61" s="1213"/>
      <c r="F61" s="1215"/>
      <c r="G61" s="1198"/>
      <c r="H61" s="1217" t="s">
        <v>957</v>
      </c>
      <c r="I61" s="363" t="s">
        <v>1010</v>
      </c>
      <c r="J61" s="362">
        <f>'PTBA-ANDZOA'!Y51</f>
        <v>0</v>
      </c>
      <c r="K61" s="66"/>
      <c r="L61" s="66"/>
      <c r="M61" s="66"/>
      <c r="N61" s="66"/>
      <c r="O61" s="64"/>
      <c r="Q61" s="574"/>
      <c r="R61" s="572"/>
      <c r="S61" s="729"/>
      <c r="T61" s="729"/>
      <c r="U61" s="729"/>
      <c r="V61" s="20"/>
    </row>
    <row r="62" spans="2:22" ht="14.5" customHeight="1" x14ac:dyDescent="0.3">
      <c r="B62" s="65"/>
      <c r="C62" s="728"/>
      <c r="D62" s="728"/>
      <c r="E62" s="1214"/>
      <c r="F62" s="1216"/>
      <c r="G62" s="1199"/>
      <c r="H62" s="1211"/>
      <c r="I62" s="363" t="s">
        <v>1011</v>
      </c>
      <c r="J62" s="362">
        <f>'PTBA-ANDZOA'!Y52</f>
        <v>0</v>
      </c>
      <c r="K62" s="66"/>
      <c r="L62" s="66"/>
      <c r="M62" s="66"/>
      <c r="N62" s="66"/>
      <c r="O62" s="64"/>
      <c r="Q62" s="574"/>
      <c r="R62" s="572"/>
      <c r="S62" s="729"/>
      <c r="T62" s="729"/>
      <c r="U62" s="729"/>
      <c r="V62" s="20"/>
    </row>
    <row r="63" spans="2:22" ht="18.75" customHeight="1" x14ac:dyDescent="0.3">
      <c r="B63" s="65"/>
      <c r="C63" s="728"/>
      <c r="D63" s="728"/>
      <c r="E63" s="1204" t="s">
        <v>869</v>
      </c>
      <c r="F63" s="1205"/>
      <c r="G63" s="1205"/>
      <c r="H63" s="1205"/>
      <c r="I63" s="1206"/>
      <c r="J63" s="352">
        <f>SUM(J54:J62)</f>
        <v>25159.876492875821</v>
      </c>
      <c r="K63" s="66"/>
      <c r="L63" s="66"/>
      <c r="M63" s="66"/>
      <c r="N63" s="66"/>
      <c r="O63" s="64"/>
      <c r="Q63" s="574"/>
      <c r="R63" s="572"/>
      <c r="S63" s="729"/>
      <c r="T63" s="729"/>
      <c r="U63" s="729"/>
      <c r="V63" s="20"/>
    </row>
    <row r="64" spans="2:22" ht="18.75" customHeight="1" x14ac:dyDescent="0.3">
      <c r="B64" s="65"/>
      <c r="C64" s="728"/>
      <c r="D64" s="728"/>
      <c r="E64" s="1193" t="s">
        <v>1022</v>
      </c>
      <c r="F64" s="1207" t="s">
        <v>864</v>
      </c>
      <c r="G64" s="1192" t="s">
        <v>1278</v>
      </c>
      <c r="H64" s="1210" t="s">
        <v>962</v>
      </c>
      <c r="I64" s="363" t="s">
        <v>1014</v>
      </c>
      <c r="J64" s="362">
        <f>'PTBA-ANDZOA'!Y54</f>
        <v>10063.950597150328</v>
      </c>
      <c r="K64" s="66"/>
      <c r="L64" s="66"/>
      <c r="M64" s="66"/>
      <c r="N64" s="66"/>
      <c r="O64" s="64"/>
      <c r="Q64" s="574"/>
      <c r="S64" s="729"/>
      <c r="T64" s="729"/>
      <c r="U64" s="729"/>
      <c r="V64" s="20"/>
    </row>
    <row r="65" spans="2:22" ht="29.5" customHeight="1" x14ac:dyDescent="0.3">
      <c r="B65" s="65"/>
      <c r="C65" s="728"/>
      <c r="D65" s="728"/>
      <c r="E65" s="1193"/>
      <c r="F65" s="1208"/>
      <c r="G65" s="1192"/>
      <c r="H65" s="1211"/>
      <c r="I65" s="363" t="s">
        <v>1036</v>
      </c>
      <c r="J65" s="362">
        <f>'PTBA-ANDZOA'!Y55</f>
        <v>0</v>
      </c>
      <c r="K65" s="66"/>
      <c r="L65" s="66"/>
      <c r="M65" s="66"/>
      <c r="N65" s="66"/>
      <c r="O65" s="64"/>
      <c r="Q65" s="574"/>
      <c r="S65" s="729"/>
      <c r="T65" s="729"/>
      <c r="U65" s="729"/>
      <c r="V65" s="20"/>
    </row>
    <row r="66" spans="2:22" ht="18.75" customHeight="1" x14ac:dyDescent="0.3">
      <c r="B66" s="65"/>
      <c r="C66" s="728"/>
      <c r="D66" s="728"/>
      <c r="E66" s="1193"/>
      <c r="F66" s="1208"/>
      <c r="G66" s="1192"/>
      <c r="H66" s="1195" t="s">
        <v>965</v>
      </c>
      <c r="I66" s="363" t="s">
        <v>1037</v>
      </c>
      <c r="J66" s="362">
        <f>'PTBA-ANDZOA'!Y56</f>
        <v>0</v>
      </c>
      <c r="K66" s="66"/>
      <c r="L66" s="66"/>
      <c r="M66" s="66"/>
      <c r="N66" s="66"/>
      <c r="O66" s="64"/>
      <c r="Q66" s="574"/>
      <c r="S66" s="729"/>
      <c r="T66" s="729"/>
      <c r="U66" s="729"/>
      <c r="V66" s="20"/>
    </row>
    <row r="67" spans="2:22" ht="18.75" customHeight="1" x14ac:dyDescent="0.3">
      <c r="B67" s="65"/>
      <c r="C67" s="728"/>
      <c r="D67" s="728"/>
      <c r="E67" s="1193"/>
      <c r="F67" s="1208"/>
      <c r="G67" s="1192"/>
      <c r="H67" s="1195"/>
      <c r="I67" s="363" t="s">
        <v>1015</v>
      </c>
      <c r="J67" s="362">
        <f>'PTBA-ANDZOA'!Y57</f>
        <v>0</v>
      </c>
      <c r="K67" s="66"/>
      <c r="L67" s="66"/>
      <c r="M67" s="66"/>
      <c r="N67" s="66"/>
      <c r="O67" s="64"/>
      <c r="Q67" s="574"/>
      <c r="S67" s="729"/>
      <c r="T67" s="729"/>
      <c r="U67" s="729"/>
      <c r="V67" s="20"/>
    </row>
    <row r="68" spans="2:22" ht="18.75" customHeight="1" x14ac:dyDescent="0.3">
      <c r="B68" s="65"/>
      <c r="C68" s="728"/>
      <c r="D68" s="728"/>
      <c r="E68" s="1193"/>
      <c r="F68" s="1208"/>
      <c r="G68" s="1189" t="s">
        <v>1279</v>
      </c>
      <c r="H68" s="1195" t="s">
        <v>969</v>
      </c>
      <c r="I68" s="363" t="s">
        <v>1038</v>
      </c>
      <c r="J68" s="362">
        <f>'PTBA-ANDZOA'!Y58</f>
        <v>0</v>
      </c>
      <c r="K68" s="66"/>
      <c r="L68" s="66"/>
      <c r="M68" s="66"/>
      <c r="N68" s="66"/>
      <c r="O68" s="64"/>
      <c r="Q68" s="574"/>
      <c r="S68" s="729"/>
      <c r="T68" s="729"/>
      <c r="U68" s="729"/>
      <c r="V68" s="20"/>
    </row>
    <row r="69" spans="2:22" ht="25.5" customHeight="1" x14ac:dyDescent="0.3">
      <c r="B69" s="65"/>
      <c r="C69" s="728"/>
      <c r="D69" s="728"/>
      <c r="E69" s="1193"/>
      <c r="F69" s="1208"/>
      <c r="G69" s="1190"/>
      <c r="H69" s="1195"/>
      <c r="I69" s="363" t="s">
        <v>1217</v>
      </c>
      <c r="J69" s="362">
        <f>'PTBA-ANDZOA'!Y59</f>
        <v>0</v>
      </c>
      <c r="K69" s="66"/>
      <c r="L69" s="66"/>
      <c r="M69" s="66"/>
      <c r="N69" s="66"/>
      <c r="O69" s="64"/>
      <c r="Q69" s="574"/>
      <c r="S69" s="729"/>
      <c r="T69" s="729"/>
      <c r="U69" s="729"/>
      <c r="V69" s="20"/>
    </row>
    <row r="70" spans="2:22" ht="27.65" customHeight="1" x14ac:dyDescent="0.3">
      <c r="B70" s="65"/>
      <c r="C70" s="44"/>
      <c r="D70" s="44"/>
      <c r="E70" s="1193"/>
      <c r="F70" s="1208"/>
      <c r="G70" s="1190"/>
      <c r="H70" s="1195" t="s">
        <v>972</v>
      </c>
      <c r="I70" s="363" t="s">
        <v>1218</v>
      </c>
      <c r="J70" s="362">
        <f>'PTBA-ANDZOA'!Y60</f>
        <v>0</v>
      </c>
      <c r="K70" s="66"/>
      <c r="L70" s="66"/>
      <c r="M70" s="66"/>
      <c r="N70" s="66"/>
      <c r="O70" s="64"/>
      <c r="Q70" s="574"/>
      <c r="S70" s="22"/>
      <c r="T70" s="22"/>
      <c r="U70" s="22"/>
      <c r="V70" s="20"/>
    </row>
    <row r="71" spans="2:22" ht="29.5" customHeight="1" x14ac:dyDescent="0.3">
      <c r="B71" s="65"/>
      <c r="C71" s="44"/>
      <c r="D71" s="44"/>
      <c r="E71" s="1193"/>
      <c r="F71" s="1209"/>
      <c r="G71" s="1191"/>
      <c r="H71" s="1195"/>
      <c r="I71" s="363" t="s">
        <v>1041</v>
      </c>
      <c r="J71" s="362">
        <f>'PTBA-ANDZOA'!Y61</f>
        <v>0</v>
      </c>
      <c r="K71" s="66"/>
      <c r="L71" s="66"/>
      <c r="M71" s="66"/>
      <c r="N71" s="66"/>
      <c r="O71" s="64"/>
      <c r="Q71" s="574"/>
      <c r="S71" s="22"/>
      <c r="T71" s="22"/>
      <c r="U71" s="22"/>
      <c r="V71" s="20"/>
    </row>
    <row r="72" spans="2:22" ht="15" customHeight="1" x14ac:dyDescent="0.3">
      <c r="B72" s="65"/>
      <c r="C72" s="44"/>
      <c r="D72" s="44"/>
      <c r="E72" s="1178" t="s">
        <v>870</v>
      </c>
      <c r="F72" s="1178"/>
      <c r="G72" s="1178"/>
      <c r="H72" s="1178"/>
      <c r="I72" s="1178"/>
      <c r="J72" s="352">
        <f>SUM(J64:J71)</f>
        <v>10063.950597150328</v>
      </c>
      <c r="K72" s="66"/>
      <c r="L72" s="66"/>
      <c r="M72" s="66"/>
      <c r="N72" s="66"/>
      <c r="O72" s="64"/>
      <c r="R72" s="19"/>
      <c r="S72" s="22"/>
      <c r="T72" s="22"/>
      <c r="U72" s="22"/>
      <c r="V72" s="20"/>
    </row>
    <row r="73" spans="2:22" x14ac:dyDescent="0.3">
      <c r="B73" s="65"/>
      <c r="C73" s="44"/>
      <c r="D73" s="44"/>
      <c r="E73" s="1186" t="s">
        <v>276</v>
      </c>
      <c r="F73" s="1187"/>
      <c r="G73" s="1187"/>
      <c r="H73" s="1187"/>
      <c r="I73" s="1188"/>
      <c r="J73" s="767">
        <f>J72+J63+J53+J42+J32</f>
        <v>1313316.2249194896</v>
      </c>
      <c r="K73" s="66"/>
      <c r="L73" s="66"/>
      <c r="M73" s="66"/>
      <c r="N73" s="66"/>
      <c r="O73" s="64"/>
      <c r="R73" s="19"/>
      <c r="S73" s="22"/>
      <c r="T73" s="22"/>
      <c r="U73" s="22"/>
      <c r="V73" s="20"/>
    </row>
    <row r="74" spans="2:22" x14ac:dyDescent="0.3">
      <c r="B74" s="65"/>
      <c r="C74" s="44"/>
      <c r="D74" s="44"/>
      <c r="E74" s="66"/>
      <c r="F74" s="66"/>
      <c r="G74" s="66"/>
      <c r="H74" s="66"/>
      <c r="I74" s="66"/>
      <c r="J74" s="66"/>
      <c r="K74" s="66"/>
      <c r="L74" s="66"/>
      <c r="M74" s="66"/>
      <c r="N74" s="66"/>
      <c r="O74" s="64"/>
      <c r="R74" s="19"/>
      <c r="S74" s="20"/>
      <c r="T74" s="20"/>
      <c r="U74" s="20"/>
      <c r="V74" s="20"/>
    </row>
    <row r="75" spans="2:22" ht="34.5" customHeight="1" x14ac:dyDescent="0.3">
      <c r="B75" s="65"/>
      <c r="C75" s="1171" t="s">
        <v>280</v>
      </c>
      <c r="D75" s="1171"/>
      <c r="E75" s="66"/>
      <c r="F75" s="66"/>
      <c r="G75" s="66"/>
      <c r="H75" s="66"/>
      <c r="I75" s="66"/>
      <c r="J75" s="723"/>
      <c r="K75" s="1235" t="s">
        <v>244</v>
      </c>
      <c r="L75" s="1235"/>
      <c r="M75" s="1235"/>
      <c r="N75" s="1235"/>
      <c r="O75" s="64"/>
      <c r="R75" s="19"/>
      <c r="S75" s="20"/>
      <c r="T75" s="20"/>
      <c r="U75" s="20"/>
      <c r="V75" s="20"/>
    </row>
    <row r="76" spans="2:22" ht="14.15" customHeight="1" x14ac:dyDescent="0.3">
      <c r="B76" s="65"/>
      <c r="C76" s="1171" t="s">
        <v>1248</v>
      </c>
      <c r="D76" s="1203"/>
      <c r="E76" s="1236" t="s">
        <v>1027</v>
      </c>
      <c r="F76" s="1236" t="s">
        <v>859</v>
      </c>
      <c r="G76" s="1236" t="s">
        <v>1270</v>
      </c>
      <c r="H76" s="1236" t="s">
        <v>1024</v>
      </c>
      <c r="I76" s="1236" t="s">
        <v>865</v>
      </c>
      <c r="J76" s="1236" t="s">
        <v>1204</v>
      </c>
      <c r="K76" s="1238">
        <v>2020</v>
      </c>
      <c r="L76" s="1239"/>
      <c r="M76" s="1238">
        <v>2021</v>
      </c>
      <c r="N76" s="1239"/>
      <c r="O76" s="64"/>
      <c r="R76" s="19"/>
    </row>
    <row r="77" spans="2:22" x14ac:dyDescent="0.3">
      <c r="B77" s="65"/>
      <c r="C77" s="1171"/>
      <c r="D77" s="1203"/>
      <c r="E77" s="1237"/>
      <c r="F77" s="1237"/>
      <c r="G77" s="1237"/>
      <c r="H77" s="1237"/>
      <c r="I77" s="1237"/>
      <c r="J77" s="1237"/>
      <c r="K77" s="863" t="s">
        <v>1281</v>
      </c>
      <c r="L77" s="863" t="s">
        <v>1282</v>
      </c>
      <c r="M77" s="863" t="s">
        <v>1281</v>
      </c>
      <c r="N77" s="863" t="s">
        <v>1282</v>
      </c>
      <c r="O77" s="64"/>
      <c r="R77" s="19"/>
    </row>
    <row r="78" spans="2:22" ht="23" x14ac:dyDescent="0.3">
      <c r="B78" s="65"/>
      <c r="C78" s="1171"/>
      <c r="D78" s="1203"/>
      <c r="E78" s="1193" t="s">
        <v>983</v>
      </c>
      <c r="F78" s="1194" t="s">
        <v>860</v>
      </c>
      <c r="G78" s="1189" t="s">
        <v>1269</v>
      </c>
      <c r="H78" s="1195" t="s">
        <v>982</v>
      </c>
      <c r="I78" s="361" t="s">
        <v>1028</v>
      </c>
      <c r="J78" s="568">
        <f>'PTBA-ANDZOA'!AE4</f>
        <v>0</v>
      </c>
      <c r="K78" s="864"/>
      <c r="L78" s="864"/>
      <c r="M78" s="864"/>
      <c r="N78" s="864"/>
      <c r="O78" s="64"/>
      <c r="R78" s="19"/>
    </row>
    <row r="79" spans="2:22" x14ac:dyDescent="0.3">
      <c r="B79" s="65"/>
      <c r="C79" s="1171"/>
      <c r="D79" s="1203"/>
      <c r="E79" s="1193"/>
      <c r="F79" s="1194"/>
      <c r="G79" s="1190"/>
      <c r="H79" s="1195"/>
      <c r="I79" s="361" t="s">
        <v>1029</v>
      </c>
      <c r="J79" s="568">
        <f>'PTBA-ANDZOA'!AE5</f>
        <v>0</v>
      </c>
      <c r="K79" s="864"/>
      <c r="L79" s="864"/>
      <c r="M79" s="864"/>
      <c r="N79" s="864"/>
      <c r="O79" s="64"/>
      <c r="R79" s="19"/>
    </row>
    <row r="80" spans="2:22" x14ac:dyDescent="0.3">
      <c r="B80" s="65"/>
      <c r="C80" s="1171"/>
      <c r="D80" s="1203"/>
      <c r="E80" s="1193"/>
      <c r="F80" s="1194"/>
      <c r="G80" s="1190"/>
      <c r="H80" s="1195"/>
      <c r="I80" s="361" t="s">
        <v>1030</v>
      </c>
      <c r="J80" s="568">
        <f>'PTBA-ANDZOA'!AE6</f>
        <v>0</v>
      </c>
      <c r="K80" s="864"/>
      <c r="L80" s="864"/>
      <c r="M80" s="864"/>
      <c r="N80" s="864"/>
      <c r="O80" s="64"/>
      <c r="R80" s="19"/>
    </row>
    <row r="81" spans="2:18" x14ac:dyDescent="0.3">
      <c r="B81" s="65"/>
      <c r="C81" s="728"/>
      <c r="D81" s="728"/>
      <c r="E81" s="1193"/>
      <c r="F81" s="1194"/>
      <c r="G81" s="1190"/>
      <c r="H81" s="1195"/>
      <c r="I81" s="361" t="s">
        <v>975</v>
      </c>
      <c r="J81" s="568">
        <f>'PTBA-ANDZOA'!AE7</f>
        <v>0</v>
      </c>
      <c r="K81" s="864"/>
      <c r="L81" s="864"/>
      <c r="M81" s="864"/>
      <c r="N81" s="864"/>
      <c r="O81" s="64"/>
      <c r="R81" s="19"/>
    </row>
    <row r="82" spans="2:18" ht="23" x14ac:dyDescent="0.3">
      <c r="B82" s="65"/>
      <c r="C82" s="728"/>
      <c r="D82" s="728"/>
      <c r="E82" s="1193"/>
      <c r="F82" s="1194"/>
      <c r="G82" s="1190"/>
      <c r="H82" s="1195"/>
      <c r="I82" s="361" t="s">
        <v>976</v>
      </c>
      <c r="J82" s="568">
        <f>'PTBA-ANDZOA'!AE8</f>
        <v>0</v>
      </c>
      <c r="K82" s="864"/>
      <c r="L82" s="864"/>
      <c r="M82" s="864"/>
      <c r="N82" s="864"/>
      <c r="O82" s="64"/>
      <c r="R82" s="19"/>
    </row>
    <row r="83" spans="2:18" ht="23" x14ac:dyDescent="0.3">
      <c r="B83" s="65"/>
      <c r="C83" s="728"/>
      <c r="D83" s="728"/>
      <c r="E83" s="1193"/>
      <c r="F83" s="1194"/>
      <c r="G83" s="1190"/>
      <c r="H83" s="1195" t="s">
        <v>903</v>
      </c>
      <c r="I83" s="361" t="s">
        <v>1031</v>
      </c>
      <c r="J83" s="568">
        <f>'PTBA-ANDZOA'!AE9</f>
        <v>0</v>
      </c>
      <c r="K83" s="864"/>
      <c r="L83" s="864"/>
      <c r="M83" s="864"/>
      <c r="N83" s="864"/>
      <c r="O83" s="64"/>
      <c r="R83" s="19"/>
    </row>
    <row r="84" spans="2:18" x14ac:dyDescent="0.3">
      <c r="B84" s="65"/>
      <c r="C84" s="728"/>
      <c r="D84" s="728"/>
      <c r="E84" s="1193"/>
      <c r="F84" s="1194"/>
      <c r="G84" s="1190"/>
      <c r="H84" s="1195"/>
      <c r="I84" s="361" t="s">
        <v>977</v>
      </c>
      <c r="J84" s="568">
        <f>'PTBA-ANDZOA'!AE10</f>
        <v>0</v>
      </c>
      <c r="K84" s="865"/>
      <c r="L84" s="865"/>
      <c r="M84" s="865"/>
      <c r="N84" s="865"/>
      <c r="O84" s="64"/>
      <c r="R84" s="19"/>
    </row>
    <row r="85" spans="2:18" ht="23" x14ac:dyDescent="0.3">
      <c r="B85" s="65"/>
      <c r="C85" s="728"/>
      <c r="D85" s="728"/>
      <c r="E85" s="1193"/>
      <c r="F85" s="1194"/>
      <c r="G85" s="1190"/>
      <c r="H85" s="1195"/>
      <c r="I85" s="361" t="s">
        <v>978</v>
      </c>
      <c r="J85" s="568">
        <f>'PTBA-ANDZOA'!AE11</f>
        <v>0</v>
      </c>
      <c r="K85" s="864"/>
      <c r="L85" s="864"/>
      <c r="M85" s="864"/>
      <c r="N85" s="864"/>
      <c r="O85" s="64"/>
      <c r="R85" s="19"/>
    </row>
    <row r="86" spans="2:18" ht="23" x14ac:dyDescent="0.3">
      <c r="B86" s="65"/>
      <c r="C86" s="728"/>
      <c r="D86" s="728"/>
      <c r="E86" s="1193"/>
      <c r="F86" s="1194"/>
      <c r="G86" s="1190"/>
      <c r="H86" s="1195" t="s">
        <v>906</v>
      </c>
      <c r="I86" s="361" t="s">
        <v>1032</v>
      </c>
      <c r="J86" s="568">
        <f>'PTBA-ANDZOA'!AE12</f>
        <v>0</v>
      </c>
      <c r="K86" s="864"/>
      <c r="L86" s="864"/>
      <c r="M86" s="864"/>
      <c r="N86" s="864"/>
      <c r="O86" s="64"/>
      <c r="R86" s="19"/>
    </row>
    <row r="87" spans="2:18" ht="23" x14ac:dyDescent="0.3">
      <c r="B87" s="65"/>
      <c r="C87" s="728"/>
      <c r="D87" s="728"/>
      <c r="E87" s="1193"/>
      <c r="F87" s="1194"/>
      <c r="G87" s="1191"/>
      <c r="H87" s="1195"/>
      <c r="I87" s="361" t="s">
        <v>1033</v>
      </c>
      <c r="J87" s="568">
        <f>'PTBA-ANDZOA'!AE13</f>
        <v>0</v>
      </c>
      <c r="K87" s="864"/>
      <c r="L87" s="864"/>
      <c r="M87" s="864"/>
      <c r="N87" s="864"/>
      <c r="O87" s="64"/>
      <c r="R87" s="19"/>
    </row>
    <row r="88" spans="2:18" ht="23" x14ac:dyDescent="0.3">
      <c r="B88" s="65"/>
      <c r="C88" s="728"/>
      <c r="D88" s="728"/>
      <c r="E88" s="1193"/>
      <c r="F88" s="1194"/>
      <c r="G88" s="1189" t="s">
        <v>1271</v>
      </c>
      <c r="H88" s="1195" t="s">
        <v>910</v>
      </c>
      <c r="I88" s="361" t="s">
        <v>979</v>
      </c>
      <c r="J88" s="568">
        <f>'PTBA-ANDZOA'!AE14</f>
        <v>0</v>
      </c>
      <c r="K88" s="864"/>
      <c r="L88" s="864"/>
      <c r="M88" s="864"/>
      <c r="N88" s="864"/>
      <c r="O88" s="64"/>
      <c r="R88" s="19"/>
    </row>
    <row r="89" spans="2:18" x14ac:dyDescent="0.3">
      <c r="B89" s="65"/>
      <c r="C89" s="728"/>
      <c r="D89" s="728"/>
      <c r="E89" s="1193"/>
      <c r="F89" s="1194"/>
      <c r="G89" s="1190"/>
      <c r="H89" s="1195"/>
      <c r="I89" s="361" t="s">
        <v>1034</v>
      </c>
      <c r="J89" s="568">
        <f>'PTBA-ANDZOA'!AE15</f>
        <v>0</v>
      </c>
      <c r="K89" s="864"/>
      <c r="L89" s="864"/>
      <c r="M89" s="864"/>
      <c r="N89" s="864"/>
      <c r="O89" s="64"/>
      <c r="R89" s="19"/>
    </row>
    <row r="90" spans="2:18" ht="23" x14ac:dyDescent="0.3">
      <c r="B90" s="65"/>
      <c r="C90" s="728"/>
      <c r="D90" s="728"/>
      <c r="E90" s="1193"/>
      <c r="F90" s="1194"/>
      <c r="G90" s="1190"/>
      <c r="H90" s="1195" t="s">
        <v>913</v>
      </c>
      <c r="I90" s="361" t="s">
        <v>980</v>
      </c>
      <c r="J90" s="568">
        <f>'PTBA-ANDZOA'!AE16</f>
        <v>0</v>
      </c>
      <c r="K90" s="864"/>
      <c r="L90" s="864"/>
      <c r="M90" s="864"/>
      <c r="N90" s="864"/>
      <c r="O90" s="64"/>
      <c r="R90" s="19"/>
    </row>
    <row r="91" spans="2:18" ht="23" x14ac:dyDescent="0.3">
      <c r="B91" s="65"/>
      <c r="C91" s="728"/>
      <c r="D91" s="728"/>
      <c r="E91" s="1193"/>
      <c r="F91" s="1194"/>
      <c r="G91" s="1191"/>
      <c r="H91" s="1195"/>
      <c r="I91" s="361" t="s">
        <v>981</v>
      </c>
      <c r="J91" s="568">
        <f>'PTBA-ANDZOA'!AE17</f>
        <v>0</v>
      </c>
      <c r="K91" s="864"/>
      <c r="L91" s="864"/>
      <c r="M91" s="864"/>
      <c r="N91" s="864"/>
      <c r="O91" s="64"/>
      <c r="R91" s="19"/>
    </row>
    <row r="92" spans="2:18" x14ac:dyDescent="0.3">
      <c r="B92" s="65"/>
      <c r="C92" s="728"/>
      <c r="D92" s="728"/>
      <c r="E92" s="1240" t="s">
        <v>866</v>
      </c>
      <c r="F92" s="1240"/>
      <c r="G92" s="1240"/>
      <c r="H92" s="1240"/>
      <c r="I92" s="1240"/>
      <c r="J92" s="352">
        <f>SUM(J78:J91)</f>
        <v>0</v>
      </c>
      <c r="K92" s="352"/>
      <c r="L92" s="352"/>
      <c r="M92" s="352"/>
      <c r="N92" s="352"/>
      <c r="O92" s="64"/>
      <c r="R92" s="19"/>
    </row>
    <row r="93" spans="2:18" ht="23" x14ac:dyDescent="0.3">
      <c r="B93" s="65"/>
      <c r="C93" s="728"/>
      <c r="D93" s="728"/>
      <c r="E93" s="1193" t="s">
        <v>1025</v>
      </c>
      <c r="F93" s="1194" t="s">
        <v>861</v>
      </c>
      <c r="G93" s="1189" t="s">
        <v>1272</v>
      </c>
      <c r="H93" s="1195" t="s">
        <v>917</v>
      </c>
      <c r="I93" s="361" t="s">
        <v>984</v>
      </c>
      <c r="J93" s="568">
        <f>'PTBA-ANDZOA'!AE19</f>
        <v>0</v>
      </c>
      <c r="K93" s="864"/>
      <c r="L93" s="864"/>
      <c r="M93" s="864"/>
      <c r="N93" s="864"/>
      <c r="O93" s="64"/>
      <c r="R93" s="19"/>
    </row>
    <row r="94" spans="2:18" ht="23" x14ac:dyDescent="0.3">
      <c r="B94" s="65"/>
      <c r="C94" s="728"/>
      <c r="D94" s="728"/>
      <c r="E94" s="1193"/>
      <c r="F94" s="1194"/>
      <c r="G94" s="1190"/>
      <c r="H94" s="1195"/>
      <c r="I94" s="361" t="s">
        <v>985</v>
      </c>
      <c r="J94" s="568">
        <f>'PTBA-ANDZOA'!AE20</f>
        <v>0</v>
      </c>
      <c r="K94" s="865"/>
      <c r="L94" s="865"/>
      <c r="M94" s="865"/>
      <c r="N94" s="865"/>
      <c r="O94" s="64"/>
      <c r="R94" s="19"/>
    </row>
    <row r="95" spans="2:18" x14ac:dyDescent="0.3">
      <c r="B95" s="65"/>
      <c r="C95" s="728"/>
      <c r="D95" s="728"/>
      <c r="E95" s="1193"/>
      <c r="F95" s="1194"/>
      <c r="G95" s="1190"/>
      <c r="H95" s="1195" t="s">
        <v>920</v>
      </c>
      <c r="I95" s="361" t="s">
        <v>986</v>
      </c>
      <c r="J95" s="568">
        <f>'PTBA-ANDZOA'!AE21</f>
        <v>0</v>
      </c>
      <c r="K95" s="865"/>
      <c r="L95" s="865"/>
      <c r="M95" s="865"/>
      <c r="N95" s="865"/>
      <c r="O95" s="64"/>
      <c r="R95" s="19"/>
    </row>
    <row r="96" spans="2:18" x14ac:dyDescent="0.3">
      <c r="B96" s="65"/>
      <c r="C96" s="728"/>
      <c r="D96" s="728"/>
      <c r="E96" s="1193"/>
      <c r="F96" s="1194"/>
      <c r="G96" s="1190"/>
      <c r="H96" s="1195"/>
      <c r="I96" s="361" t="s">
        <v>987</v>
      </c>
      <c r="J96" s="568">
        <f>'PTBA-ANDZOA'!AE22</f>
        <v>0</v>
      </c>
      <c r="K96" s="865"/>
      <c r="L96" s="865"/>
      <c r="M96" s="865"/>
      <c r="N96" s="865"/>
      <c r="O96" s="64"/>
      <c r="R96" s="19"/>
    </row>
    <row r="97" spans="2:18" x14ac:dyDescent="0.3">
      <c r="B97" s="65"/>
      <c r="C97" s="728"/>
      <c r="D97" s="728"/>
      <c r="E97" s="1193"/>
      <c r="F97" s="1194"/>
      <c r="G97" s="1190"/>
      <c r="H97" s="1195"/>
      <c r="I97" s="361" t="s">
        <v>988</v>
      </c>
      <c r="J97" s="568">
        <f>'PTBA-ANDZOA'!AE23</f>
        <v>0</v>
      </c>
      <c r="K97" s="864"/>
      <c r="L97" s="864"/>
      <c r="M97" s="864"/>
      <c r="N97" s="864"/>
      <c r="O97" s="64"/>
      <c r="R97" s="19"/>
    </row>
    <row r="98" spans="2:18" ht="23" x14ac:dyDescent="0.3">
      <c r="B98" s="65"/>
      <c r="C98" s="728"/>
      <c r="D98" s="728"/>
      <c r="E98" s="1193"/>
      <c r="F98" s="1194"/>
      <c r="G98" s="1189" t="s">
        <v>1273</v>
      </c>
      <c r="H98" s="1195" t="s">
        <v>924</v>
      </c>
      <c r="I98" s="361" t="s">
        <v>989</v>
      </c>
      <c r="J98" s="568">
        <f>'PTBA-ANDZOA'!AE24</f>
        <v>0</v>
      </c>
      <c r="K98" s="865"/>
      <c r="L98" s="865"/>
      <c r="M98" s="865"/>
      <c r="N98" s="865"/>
      <c r="O98" s="64"/>
      <c r="R98" s="19"/>
    </row>
    <row r="99" spans="2:18" x14ac:dyDescent="0.3">
      <c r="B99" s="65"/>
      <c r="C99" s="728"/>
      <c r="D99" s="728"/>
      <c r="E99" s="1193"/>
      <c r="F99" s="1194"/>
      <c r="G99" s="1190"/>
      <c r="H99" s="1195"/>
      <c r="I99" s="361" t="s">
        <v>990</v>
      </c>
      <c r="J99" s="568">
        <f>'PTBA-ANDZOA'!AE25</f>
        <v>0</v>
      </c>
      <c r="K99" s="864"/>
      <c r="L99" s="864"/>
      <c r="M99" s="864"/>
      <c r="N99" s="864"/>
      <c r="O99" s="64"/>
      <c r="R99" s="19"/>
    </row>
    <row r="100" spans="2:18" x14ac:dyDescent="0.3">
      <c r="B100" s="65"/>
      <c r="C100" s="728"/>
      <c r="D100" s="728"/>
      <c r="E100" s="1193"/>
      <c r="F100" s="1194"/>
      <c r="G100" s="1190"/>
      <c r="H100" s="1195" t="s">
        <v>927</v>
      </c>
      <c r="I100" s="361" t="s">
        <v>991</v>
      </c>
      <c r="J100" s="568">
        <f>'PTBA-ANDZOA'!AE26</f>
        <v>0</v>
      </c>
      <c r="K100" s="865"/>
      <c r="L100" s="865"/>
      <c r="M100" s="865"/>
      <c r="N100" s="865"/>
      <c r="O100" s="64"/>
      <c r="R100" s="19"/>
    </row>
    <row r="101" spans="2:18" x14ac:dyDescent="0.3">
      <c r="B101" s="65"/>
      <c r="C101" s="728"/>
      <c r="D101" s="728"/>
      <c r="E101" s="1193"/>
      <c r="F101" s="1194"/>
      <c r="G101" s="1191"/>
      <c r="H101" s="1195"/>
      <c r="I101" s="361" t="s">
        <v>992</v>
      </c>
      <c r="J101" s="568">
        <f>'PTBA-ANDZOA'!AE27</f>
        <v>0</v>
      </c>
      <c r="K101" s="865"/>
      <c r="L101" s="865"/>
      <c r="M101" s="865"/>
      <c r="N101" s="865"/>
      <c r="O101" s="64"/>
      <c r="R101" s="19"/>
    </row>
    <row r="102" spans="2:18" x14ac:dyDescent="0.3">
      <c r="B102" s="65"/>
      <c r="C102" s="728"/>
      <c r="D102" s="728"/>
      <c r="E102" s="1178" t="s">
        <v>868</v>
      </c>
      <c r="F102" s="1178"/>
      <c r="G102" s="1178"/>
      <c r="H102" s="1178"/>
      <c r="I102" s="1178"/>
      <c r="J102" s="352">
        <f>SUM(J93:J101)</f>
        <v>0</v>
      </c>
      <c r="K102" s="352"/>
      <c r="L102" s="352"/>
      <c r="M102" s="352"/>
      <c r="N102" s="352"/>
      <c r="O102" s="64"/>
      <c r="R102" s="19"/>
    </row>
    <row r="103" spans="2:18" ht="14.15" customHeight="1" x14ac:dyDescent="0.3">
      <c r="B103" s="65"/>
      <c r="C103" s="728"/>
      <c r="D103" s="728"/>
      <c r="E103" s="1212" t="s">
        <v>1026</v>
      </c>
      <c r="F103" s="1207" t="s">
        <v>862</v>
      </c>
      <c r="G103" s="1192" t="s">
        <v>1274</v>
      </c>
      <c r="H103" s="1195" t="s">
        <v>932</v>
      </c>
      <c r="I103" s="363" t="s">
        <v>994</v>
      </c>
      <c r="J103" s="568">
        <f>'PTBA-ANDZOA'!AE29</f>
        <v>0</v>
      </c>
      <c r="K103" s="866"/>
      <c r="L103" s="866"/>
      <c r="M103" s="866"/>
      <c r="N103" s="866"/>
      <c r="O103" s="64"/>
      <c r="R103" s="19"/>
    </row>
    <row r="104" spans="2:18" ht="23" x14ac:dyDescent="0.3">
      <c r="B104" s="65"/>
      <c r="C104" s="728"/>
      <c r="D104" s="728"/>
      <c r="E104" s="1213"/>
      <c r="F104" s="1208"/>
      <c r="G104" s="1192"/>
      <c r="H104" s="1195"/>
      <c r="I104" s="363" t="s">
        <v>995</v>
      </c>
      <c r="J104" s="568">
        <f>'PTBA-ANDZOA'!AE30</f>
        <v>0</v>
      </c>
      <c r="K104" s="866"/>
      <c r="L104" s="866"/>
      <c r="M104" s="866"/>
      <c r="N104" s="866"/>
      <c r="O104" s="64"/>
      <c r="R104" s="19"/>
    </row>
    <row r="105" spans="2:18" ht="23" x14ac:dyDescent="0.3">
      <c r="B105" s="65"/>
      <c r="C105" s="728"/>
      <c r="D105" s="728"/>
      <c r="E105" s="1213"/>
      <c r="F105" s="1208"/>
      <c r="G105" s="1192"/>
      <c r="H105" s="1195"/>
      <c r="I105" s="363" t="s">
        <v>996</v>
      </c>
      <c r="J105" s="568">
        <f>'PTBA-ANDZOA'!AE31</f>
        <v>0</v>
      </c>
      <c r="K105" s="866"/>
      <c r="L105" s="866"/>
      <c r="M105" s="866"/>
      <c r="N105" s="866"/>
      <c r="O105" s="64"/>
      <c r="R105" s="19"/>
    </row>
    <row r="106" spans="2:18" x14ac:dyDescent="0.3">
      <c r="B106" s="65"/>
      <c r="C106" s="728"/>
      <c r="D106" s="728"/>
      <c r="E106" s="1213"/>
      <c r="F106" s="1208"/>
      <c r="G106" s="1192"/>
      <c r="H106" s="1195" t="s">
        <v>935</v>
      </c>
      <c r="I106" s="363" t="s">
        <v>997</v>
      </c>
      <c r="J106" s="568">
        <f>'PTBA-ANDZOA'!AE32</f>
        <v>0</v>
      </c>
      <c r="K106" s="866"/>
      <c r="L106" s="866"/>
      <c r="M106" s="866"/>
      <c r="N106" s="866"/>
      <c r="O106" s="64"/>
      <c r="R106" s="19"/>
    </row>
    <row r="107" spans="2:18" ht="23" x14ac:dyDescent="0.3">
      <c r="B107" s="65"/>
      <c r="C107" s="728"/>
      <c r="D107" s="728"/>
      <c r="E107" s="1213"/>
      <c r="F107" s="1208"/>
      <c r="G107" s="1192"/>
      <c r="H107" s="1195"/>
      <c r="I107" s="363" t="s">
        <v>998</v>
      </c>
      <c r="J107" s="568">
        <f>'PTBA-ANDZOA'!AE33</f>
        <v>0</v>
      </c>
      <c r="K107" s="866"/>
      <c r="L107" s="866"/>
      <c r="M107" s="866"/>
      <c r="N107" s="866"/>
      <c r="O107" s="64"/>
      <c r="R107" s="19"/>
    </row>
    <row r="108" spans="2:18" x14ac:dyDescent="0.3">
      <c r="B108" s="65"/>
      <c r="C108" s="728"/>
      <c r="D108" s="728"/>
      <c r="E108" s="1213"/>
      <c r="F108" s="1208"/>
      <c r="G108" s="1192"/>
      <c r="H108" s="1195"/>
      <c r="I108" s="363" t="s">
        <v>999</v>
      </c>
      <c r="J108" s="568">
        <f>'PTBA-ANDZOA'!AE34</f>
        <v>0</v>
      </c>
      <c r="K108" s="866"/>
      <c r="L108" s="866"/>
      <c r="M108" s="866"/>
      <c r="N108" s="866"/>
      <c r="O108" s="64"/>
      <c r="R108" s="19"/>
    </row>
    <row r="109" spans="2:18" ht="23.15" customHeight="1" x14ac:dyDescent="0.3">
      <c r="B109" s="65"/>
      <c r="C109" s="728"/>
      <c r="D109" s="728"/>
      <c r="E109" s="1213"/>
      <c r="F109" s="1208"/>
      <c r="G109" s="1189" t="s">
        <v>1275</v>
      </c>
      <c r="H109" s="1195" t="s">
        <v>939</v>
      </c>
      <c r="I109" s="363" t="s">
        <v>1000</v>
      </c>
      <c r="J109" s="568">
        <f>'PTBA-ANDZOA'!AE35</f>
        <v>0</v>
      </c>
      <c r="K109" s="866"/>
      <c r="L109" s="866"/>
      <c r="M109" s="866"/>
      <c r="N109" s="866"/>
      <c r="O109" s="64"/>
      <c r="R109" s="19"/>
    </row>
    <row r="110" spans="2:18" x14ac:dyDescent="0.3">
      <c r="B110" s="65"/>
      <c r="C110" s="728"/>
      <c r="D110" s="728"/>
      <c r="E110" s="1213"/>
      <c r="F110" s="1208"/>
      <c r="G110" s="1190"/>
      <c r="H110" s="1195"/>
      <c r="I110" s="363" t="s">
        <v>1001</v>
      </c>
      <c r="J110" s="568">
        <f>'PTBA-ANDZOA'!AE36</f>
        <v>0</v>
      </c>
      <c r="K110" s="866"/>
      <c r="L110" s="866"/>
      <c r="M110" s="866"/>
      <c r="N110" s="866"/>
      <c r="O110" s="64"/>
      <c r="R110" s="19"/>
    </row>
    <row r="111" spans="2:18" ht="23" x14ac:dyDescent="0.3">
      <c r="B111" s="65"/>
      <c r="C111" s="728"/>
      <c r="D111" s="728"/>
      <c r="E111" s="1213"/>
      <c r="F111" s="1208"/>
      <c r="G111" s="1190"/>
      <c r="H111" s="1195" t="s">
        <v>942</v>
      </c>
      <c r="I111" s="363" t="s">
        <v>1002</v>
      </c>
      <c r="J111" s="568">
        <f>'PTBA-ANDZOA'!AE37</f>
        <v>0</v>
      </c>
      <c r="K111" s="866"/>
      <c r="L111" s="866"/>
      <c r="M111" s="866"/>
      <c r="N111" s="866"/>
      <c r="O111" s="64"/>
      <c r="R111" s="19"/>
    </row>
    <row r="112" spans="2:18" x14ac:dyDescent="0.3">
      <c r="B112" s="65"/>
      <c r="C112" s="728"/>
      <c r="D112" s="728"/>
      <c r="E112" s="1213"/>
      <c r="F112" s="1208"/>
      <c r="G112" s="1190"/>
      <c r="H112" s="1195"/>
      <c r="I112" s="363" t="s">
        <v>1003</v>
      </c>
      <c r="J112" s="568">
        <f>'PTBA-ANDZOA'!AE38</f>
        <v>0</v>
      </c>
      <c r="K112" s="866"/>
      <c r="L112" s="866"/>
      <c r="M112" s="866"/>
      <c r="N112" s="866"/>
      <c r="O112" s="64"/>
      <c r="R112" s="19"/>
    </row>
    <row r="113" spans="2:18" ht="26.5" customHeight="1" x14ac:dyDescent="0.3">
      <c r="B113" s="65"/>
      <c r="C113" s="745"/>
      <c r="D113" s="745"/>
      <c r="E113" s="1213"/>
      <c r="F113" s="1208"/>
      <c r="G113" s="1190"/>
      <c r="H113" s="1200" t="s">
        <v>1284</v>
      </c>
      <c r="I113" s="862" t="s">
        <v>1286</v>
      </c>
      <c r="J113" s="568">
        <f>'PTBA-ANDZOA'!AE39</f>
        <v>466021.37800306006</v>
      </c>
      <c r="K113" s="866"/>
      <c r="L113" s="866"/>
      <c r="M113" s="866"/>
      <c r="N113" s="866"/>
      <c r="O113" s="64"/>
      <c r="R113" s="19"/>
    </row>
    <row r="114" spans="2:18" ht="20.5" customHeight="1" x14ac:dyDescent="0.3">
      <c r="B114" s="65"/>
      <c r="C114" s="745"/>
      <c r="D114" s="745"/>
      <c r="E114" s="1213"/>
      <c r="F114" s="1208"/>
      <c r="G114" s="1190"/>
      <c r="H114" s="1200"/>
      <c r="I114" s="862" t="s">
        <v>1287</v>
      </c>
      <c r="J114" s="568">
        <f>'PTBA-ANDZOA'!AE40</f>
        <v>103684.87898865581</v>
      </c>
      <c r="K114" s="866"/>
      <c r="L114" s="866"/>
      <c r="M114" s="866"/>
      <c r="N114" s="866"/>
      <c r="O114" s="64"/>
      <c r="R114" s="19"/>
    </row>
    <row r="115" spans="2:18" ht="17.149999999999999" customHeight="1" x14ac:dyDescent="0.3">
      <c r="B115" s="65"/>
      <c r="C115" s="745"/>
      <c r="D115" s="745"/>
      <c r="E115" s="1213"/>
      <c r="F115" s="1208"/>
      <c r="G115" s="1190"/>
      <c r="H115" s="1201" t="s">
        <v>1285</v>
      </c>
      <c r="I115" s="862" t="s">
        <v>1288</v>
      </c>
      <c r="J115" s="568">
        <f>'PTBA-ANDZOA'!AE41</f>
        <v>67395.171342626272</v>
      </c>
      <c r="K115" s="866"/>
      <c r="L115" s="866"/>
      <c r="M115" s="866"/>
      <c r="N115" s="866"/>
      <c r="O115" s="64"/>
      <c r="R115" s="19"/>
    </row>
    <row r="116" spans="2:18" ht="23.5" customHeight="1" x14ac:dyDescent="0.3">
      <c r="B116" s="65"/>
      <c r="C116" s="745"/>
      <c r="D116" s="745"/>
      <c r="E116" s="1214"/>
      <c r="F116" s="1209"/>
      <c r="G116" s="1191"/>
      <c r="H116" s="1202"/>
      <c r="I116" s="862" t="s">
        <v>1283</v>
      </c>
      <c r="J116" s="568">
        <f>'PTBA-ANDZOA'!AE42</f>
        <v>62210.927393193488</v>
      </c>
      <c r="K116" s="866"/>
      <c r="L116" s="866"/>
      <c r="M116" s="866"/>
      <c r="N116" s="866"/>
      <c r="O116" s="64"/>
      <c r="R116" s="19"/>
    </row>
    <row r="117" spans="2:18" x14ac:dyDescent="0.3">
      <c r="B117" s="65"/>
      <c r="C117" s="728"/>
      <c r="D117" s="728"/>
      <c r="E117" s="1178" t="s">
        <v>867</v>
      </c>
      <c r="F117" s="1178"/>
      <c r="G117" s="1178"/>
      <c r="H117" s="1178"/>
      <c r="I117" s="1178"/>
      <c r="J117" s="352">
        <f>SUM(J103:J116)</f>
        <v>699312.35572753556</v>
      </c>
      <c r="K117" s="352"/>
      <c r="L117" s="352"/>
      <c r="M117" s="352"/>
      <c r="N117" s="352"/>
      <c r="O117" s="64"/>
      <c r="R117" s="19"/>
    </row>
    <row r="118" spans="2:18" x14ac:dyDescent="0.3">
      <c r="B118" s="65"/>
      <c r="C118" s="728"/>
      <c r="D118" s="728"/>
      <c r="E118" s="1193" t="s">
        <v>1023</v>
      </c>
      <c r="F118" s="1194" t="s">
        <v>863</v>
      </c>
      <c r="G118" s="1189" t="s">
        <v>1276</v>
      </c>
      <c r="H118" s="1195" t="s">
        <v>947</v>
      </c>
      <c r="I118" s="363" t="s">
        <v>1004</v>
      </c>
      <c r="J118" s="568">
        <f>'PTBA-ANDZOA'!AE44</f>
        <v>0</v>
      </c>
      <c r="K118" s="865"/>
      <c r="L118" s="865"/>
      <c r="M118" s="865"/>
      <c r="N118" s="865"/>
      <c r="O118" s="64"/>
      <c r="R118" s="19"/>
    </row>
    <row r="119" spans="2:18" ht="23" x14ac:dyDescent="0.3">
      <c r="B119" s="65"/>
      <c r="C119" s="728"/>
      <c r="D119" s="728"/>
      <c r="E119" s="1193"/>
      <c r="F119" s="1196"/>
      <c r="G119" s="1190"/>
      <c r="H119" s="1195"/>
      <c r="I119" s="363" t="s">
        <v>1035</v>
      </c>
      <c r="J119" s="568">
        <f>'PTBA-ANDZOA'!AE45</f>
        <v>0</v>
      </c>
      <c r="K119" s="865"/>
      <c r="L119" s="865"/>
      <c r="M119" s="865"/>
      <c r="N119" s="865"/>
      <c r="O119" s="64"/>
      <c r="R119" s="19"/>
    </row>
    <row r="120" spans="2:18" x14ac:dyDescent="0.3">
      <c r="B120" s="65"/>
      <c r="C120" s="728"/>
      <c r="D120" s="728"/>
      <c r="E120" s="1193"/>
      <c r="F120" s="1196"/>
      <c r="G120" s="1190"/>
      <c r="H120" s="1195" t="s">
        <v>950</v>
      </c>
      <c r="I120" s="363" t="s">
        <v>1005</v>
      </c>
      <c r="J120" s="568">
        <f>'PTBA-ANDZOA'!AE46</f>
        <v>0</v>
      </c>
      <c r="K120" s="865"/>
      <c r="L120" s="865"/>
      <c r="M120" s="865"/>
      <c r="N120" s="865"/>
      <c r="O120" s="64"/>
      <c r="R120" s="19"/>
    </row>
    <row r="121" spans="2:18" ht="23" x14ac:dyDescent="0.3">
      <c r="B121" s="65"/>
      <c r="C121" s="728"/>
      <c r="D121" s="728"/>
      <c r="E121" s="1193"/>
      <c r="F121" s="1196"/>
      <c r="G121" s="1190"/>
      <c r="H121" s="1195"/>
      <c r="I121" s="363" t="s">
        <v>1006</v>
      </c>
      <c r="J121" s="568">
        <f>'PTBA-ANDZOA'!AE47</f>
        <v>0</v>
      </c>
      <c r="K121" s="865"/>
      <c r="L121" s="865"/>
      <c r="M121" s="865"/>
      <c r="N121" s="865"/>
      <c r="O121" s="64"/>
      <c r="R121" s="19"/>
    </row>
    <row r="122" spans="2:18" x14ac:dyDescent="0.3">
      <c r="B122" s="65"/>
      <c r="C122" s="728"/>
      <c r="D122" s="728"/>
      <c r="E122" s="1193"/>
      <c r="F122" s="1196"/>
      <c r="G122" s="1197" t="s">
        <v>1277</v>
      </c>
      <c r="H122" s="1195" t="s">
        <v>1013</v>
      </c>
      <c r="I122" s="363" t="s">
        <v>1007</v>
      </c>
      <c r="J122" s="568">
        <f>'PTBA-ANDZOA'!AE48</f>
        <v>0</v>
      </c>
      <c r="K122" s="865"/>
      <c r="L122" s="865"/>
      <c r="M122" s="865"/>
      <c r="N122" s="865"/>
      <c r="O122" s="64"/>
      <c r="R122" s="19"/>
    </row>
    <row r="123" spans="2:18" x14ac:dyDescent="0.3">
      <c r="B123" s="65"/>
      <c r="C123" s="728"/>
      <c r="D123" s="728"/>
      <c r="E123" s="1193"/>
      <c r="F123" s="1196"/>
      <c r="G123" s="1198"/>
      <c r="H123" s="1195"/>
      <c r="I123" s="363" t="s">
        <v>1008</v>
      </c>
      <c r="J123" s="568">
        <f>'PTBA-ANDZOA'!AE49</f>
        <v>0</v>
      </c>
      <c r="K123" s="865"/>
      <c r="L123" s="865"/>
      <c r="M123" s="865"/>
      <c r="N123" s="865"/>
      <c r="O123" s="64"/>
      <c r="R123" s="19"/>
    </row>
    <row r="124" spans="2:18" x14ac:dyDescent="0.3">
      <c r="B124" s="65"/>
      <c r="C124" s="728"/>
      <c r="D124" s="728"/>
      <c r="E124" s="1193"/>
      <c r="F124" s="1196"/>
      <c r="G124" s="1198"/>
      <c r="H124" s="1195"/>
      <c r="I124" s="363" t="s">
        <v>1009</v>
      </c>
      <c r="J124" s="568">
        <f>'PTBA-ANDZOA'!AE50</f>
        <v>46658.195544895112</v>
      </c>
      <c r="K124" s="865"/>
      <c r="L124" s="865"/>
      <c r="M124" s="865"/>
      <c r="N124" s="865"/>
      <c r="O124" s="64"/>
      <c r="R124" s="19"/>
    </row>
    <row r="125" spans="2:18" x14ac:dyDescent="0.3">
      <c r="B125" s="65"/>
      <c r="C125" s="728"/>
      <c r="D125" s="728"/>
      <c r="E125" s="1193"/>
      <c r="F125" s="1196"/>
      <c r="G125" s="1198"/>
      <c r="H125" s="1195" t="s">
        <v>957</v>
      </c>
      <c r="I125" s="363" t="s">
        <v>1010</v>
      </c>
      <c r="J125" s="568">
        <f>'PTBA-ANDZOA'!AE51</f>
        <v>0</v>
      </c>
      <c r="K125" s="865"/>
      <c r="L125" s="865"/>
      <c r="M125" s="865"/>
      <c r="N125" s="865"/>
      <c r="O125" s="64"/>
      <c r="R125" s="19"/>
    </row>
    <row r="126" spans="2:18" x14ac:dyDescent="0.3">
      <c r="B126" s="65"/>
      <c r="C126" s="728"/>
      <c r="D126" s="728"/>
      <c r="E126" s="1193"/>
      <c r="F126" s="1196"/>
      <c r="G126" s="1199"/>
      <c r="H126" s="1195"/>
      <c r="I126" s="363" t="s">
        <v>1011</v>
      </c>
      <c r="J126" s="568">
        <f>'PTBA-ANDZOA'!AE52</f>
        <v>0</v>
      </c>
      <c r="K126" s="865"/>
      <c r="L126" s="865"/>
      <c r="M126" s="865"/>
      <c r="N126" s="865"/>
      <c r="O126" s="64"/>
      <c r="R126" s="19"/>
    </row>
    <row r="127" spans="2:18" x14ac:dyDescent="0.3">
      <c r="B127" s="65"/>
      <c r="C127" s="728"/>
      <c r="D127" s="728"/>
      <c r="E127" s="1178" t="s">
        <v>869</v>
      </c>
      <c r="F127" s="1178"/>
      <c r="G127" s="1178"/>
      <c r="H127" s="1178"/>
      <c r="I127" s="1178"/>
      <c r="J127" s="352">
        <f>SUM(J118:J126)</f>
        <v>46658.195544895112</v>
      </c>
      <c r="K127" s="352"/>
      <c r="L127" s="352"/>
      <c r="M127" s="352"/>
      <c r="N127" s="352"/>
      <c r="O127" s="64"/>
      <c r="R127" s="19"/>
    </row>
    <row r="128" spans="2:18" ht="17.25" customHeight="1" x14ac:dyDescent="0.3">
      <c r="B128" s="65"/>
      <c r="C128" s="728"/>
      <c r="D128" s="728"/>
      <c r="E128" s="1193" t="s">
        <v>1022</v>
      </c>
      <c r="F128" s="1194" t="s">
        <v>864</v>
      </c>
      <c r="G128" s="1192" t="s">
        <v>1278</v>
      </c>
      <c r="H128" s="1195" t="s">
        <v>962</v>
      </c>
      <c r="I128" s="363" t="s">
        <v>1014</v>
      </c>
      <c r="J128" s="568">
        <f>'PTBA-ANDZOA'!AE54</f>
        <v>0</v>
      </c>
      <c r="K128" s="865"/>
      <c r="L128" s="865"/>
      <c r="M128" s="865"/>
      <c r="N128" s="865"/>
      <c r="O128" s="64"/>
      <c r="R128" s="19"/>
    </row>
    <row r="129" spans="2:18" ht="17.25" customHeight="1" x14ac:dyDescent="0.3">
      <c r="B129" s="65"/>
      <c r="C129" s="728"/>
      <c r="D129" s="728"/>
      <c r="E129" s="1193"/>
      <c r="F129" s="1194"/>
      <c r="G129" s="1192"/>
      <c r="H129" s="1195"/>
      <c r="I129" s="363" t="s">
        <v>1036</v>
      </c>
      <c r="J129" s="568">
        <f>'PTBA-ANDZOA'!AE55</f>
        <v>0</v>
      </c>
      <c r="K129" s="865"/>
      <c r="L129" s="865"/>
      <c r="M129" s="865"/>
      <c r="N129" s="865"/>
      <c r="O129" s="64"/>
      <c r="R129" s="19"/>
    </row>
    <row r="130" spans="2:18" ht="17.25" customHeight="1" x14ac:dyDescent="0.3">
      <c r="B130" s="65"/>
      <c r="C130" s="728"/>
      <c r="D130" s="728"/>
      <c r="E130" s="1193"/>
      <c r="F130" s="1194"/>
      <c r="G130" s="1192"/>
      <c r="H130" s="1195" t="s">
        <v>965</v>
      </c>
      <c r="I130" s="363" t="s">
        <v>1037</v>
      </c>
      <c r="J130" s="568">
        <f>'PTBA-ANDZOA'!AE56</f>
        <v>0</v>
      </c>
      <c r="K130" s="865"/>
      <c r="L130" s="865"/>
      <c r="M130" s="865"/>
      <c r="N130" s="865"/>
      <c r="O130" s="64"/>
      <c r="R130" s="19"/>
    </row>
    <row r="131" spans="2:18" ht="17.25" customHeight="1" x14ac:dyDescent="0.3">
      <c r="B131" s="65"/>
      <c r="C131" s="728"/>
      <c r="D131" s="728"/>
      <c r="E131" s="1193"/>
      <c r="F131" s="1194"/>
      <c r="G131" s="1192"/>
      <c r="H131" s="1195"/>
      <c r="I131" s="363" t="s">
        <v>1015</v>
      </c>
      <c r="J131" s="568">
        <f>'PTBA-ANDZOA'!AE57</f>
        <v>0</v>
      </c>
      <c r="K131" s="865"/>
      <c r="L131" s="865"/>
      <c r="M131" s="865"/>
      <c r="N131" s="865"/>
      <c r="O131" s="64"/>
      <c r="R131" s="19"/>
    </row>
    <row r="132" spans="2:18" ht="17.25" customHeight="1" x14ac:dyDescent="0.3">
      <c r="B132" s="65"/>
      <c r="C132" s="728"/>
      <c r="D132" s="728"/>
      <c r="E132" s="1193"/>
      <c r="F132" s="1194"/>
      <c r="G132" s="1189" t="s">
        <v>1279</v>
      </c>
      <c r="H132" s="1195" t="s">
        <v>969</v>
      </c>
      <c r="I132" s="363" t="s">
        <v>1038</v>
      </c>
      <c r="J132" s="568">
        <f>'PTBA-ANDZOA'!AE58</f>
        <v>0</v>
      </c>
      <c r="K132" s="865"/>
      <c r="L132" s="865"/>
      <c r="M132" s="865"/>
      <c r="N132" s="865"/>
      <c r="O132" s="64"/>
      <c r="R132" s="19"/>
    </row>
    <row r="133" spans="2:18" ht="17.25" customHeight="1" x14ac:dyDescent="0.3">
      <c r="B133" s="65"/>
      <c r="C133" s="728"/>
      <c r="D133" s="728"/>
      <c r="E133" s="1193"/>
      <c r="F133" s="1194"/>
      <c r="G133" s="1190"/>
      <c r="H133" s="1195"/>
      <c r="I133" s="363" t="s">
        <v>1039</v>
      </c>
      <c r="J133" s="568">
        <f>'PTBA-ANDZOA'!AE59</f>
        <v>0</v>
      </c>
      <c r="K133" s="865"/>
      <c r="L133" s="865"/>
      <c r="M133" s="865"/>
      <c r="N133" s="865"/>
      <c r="O133" s="64"/>
      <c r="R133" s="19"/>
    </row>
    <row r="134" spans="2:18" ht="17.25" customHeight="1" x14ac:dyDescent="0.3">
      <c r="B134" s="65"/>
      <c r="C134" s="728"/>
      <c r="D134" s="728"/>
      <c r="E134" s="1193"/>
      <c r="F134" s="1194"/>
      <c r="G134" s="1190"/>
      <c r="H134" s="1195" t="s">
        <v>972</v>
      </c>
      <c r="I134" s="363" t="s">
        <v>1040</v>
      </c>
      <c r="J134" s="568">
        <f>'PTBA-ANDZOA'!AE60</f>
        <v>0</v>
      </c>
      <c r="K134" s="865"/>
      <c r="L134" s="865"/>
      <c r="M134" s="865"/>
      <c r="N134" s="865"/>
      <c r="O134" s="64"/>
      <c r="R134" s="19"/>
    </row>
    <row r="135" spans="2:18" ht="17.25" customHeight="1" x14ac:dyDescent="0.3">
      <c r="B135" s="65"/>
      <c r="C135" s="728"/>
      <c r="D135" s="728"/>
      <c r="E135" s="1193"/>
      <c r="F135" s="1194"/>
      <c r="G135" s="1191"/>
      <c r="H135" s="1195"/>
      <c r="I135" s="363" t="s">
        <v>1041</v>
      </c>
      <c r="J135" s="568">
        <f>'PTBA-ANDZOA'!AE61</f>
        <v>0</v>
      </c>
      <c r="K135" s="865"/>
      <c r="L135" s="865"/>
      <c r="M135" s="865"/>
      <c r="N135" s="865"/>
      <c r="O135" s="64"/>
      <c r="R135" s="19"/>
    </row>
    <row r="136" spans="2:18" x14ac:dyDescent="0.3">
      <c r="B136" s="65"/>
      <c r="C136" s="728"/>
      <c r="D136" s="728"/>
      <c r="E136" s="1178" t="s">
        <v>870</v>
      </c>
      <c r="F136" s="1178"/>
      <c r="G136" s="1178"/>
      <c r="H136" s="1178"/>
      <c r="I136" s="1178"/>
      <c r="J136" s="352">
        <f>SUM(J128:J135)</f>
        <v>0</v>
      </c>
      <c r="K136" s="352"/>
      <c r="L136" s="352"/>
      <c r="M136" s="352"/>
      <c r="N136" s="352"/>
      <c r="O136" s="64"/>
      <c r="R136" s="19"/>
    </row>
    <row r="137" spans="2:18" ht="18" customHeight="1" x14ac:dyDescent="0.3">
      <c r="B137" s="65"/>
      <c r="C137" s="44"/>
      <c r="D137" s="44"/>
      <c r="E137" s="1186" t="s">
        <v>276</v>
      </c>
      <c r="F137" s="1187"/>
      <c r="G137" s="1187"/>
      <c r="H137" s="1187"/>
      <c r="I137" s="1188"/>
      <c r="J137" s="366">
        <f>+J136+J127+J117+J102+J92</f>
        <v>745970.55127243069</v>
      </c>
      <c r="K137" s="703"/>
      <c r="L137" s="703"/>
      <c r="M137" s="703"/>
      <c r="N137" s="703"/>
      <c r="O137" s="64"/>
      <c r="R137" s="19"/>
    </row>
    <row r="138" spans="2:18" x14ac:dyDescent="0.3">
      <c r="B138" s="65"/>
      <c r="C138" s="44"/>
      <c r="D138" s="44"/>
      <c r="E138" s="66"/>
      <c r="F138" s="66"/>
      <c r="G138" s="66"/>
      <c r="H138" s="66"/>
      <c r="I138" s="66"/>
      <c r="J138" s="66"/>
      <c r="K138" s="66"/>
      <c r="L138" s="66"/>
      <c r="M138" s="66"/>
      <c r="N138" s="66"/>
      <c r="O138" s="64"/>
      <c r="R138" s="19"/>
    </row>
    <row r="139" spans="2:18" ht="34.5" customHeight="1" thickBot="1" x14ac:dyDescent="0.35">
      <c r="B139" s="65"/>
      <c r="C139" s="1171" t="s">
        <v>282</v>
      </c>
      <c r="D139" s="1171"/>
      <c r="E139" s="1171"/>
      <c r="F139" s="1171"/>
      <c r="G139" s="1171"/>
      <c r="H139" s="1171"/>
      <c r="I139" s="1171"/>
      <c r="J139" s="1171"/>
      <c r="K139" s="66"/>
      <c r="L139" s="66"/>
      <c r="M139" s="66"/>
      <c r="N139" s="66"/>
      <c r="O139" s="64"/>
      <c r="R139" s="19"/>
    </row>
    <row r="140" spans="2:18" ht="63.75" customHeight="1" thickBot="1" x14ac:dyDescent="0.35">
      <c r="B140" s="65"/>
      <c r="C140" s="1171" t="s">
        <v>215</v>
      </c>
      <c r="D140" s="1171"/>
      <c r="E140" s="1179"/>
      <c r="F140" s="1180"/>
      <c r="G140" s="1180"/>
      <c r="H140" s="1180"/>
      <c r="I140" s="1180"/>
      <c r="J140" s="1181"/>
      <c r="K140" s="66"/>
      <c r="L140" s="66"/>
      <c r="M140" s="66"/>
      <c r="N140" s="66"/>
      <c r="O140" s="64"/>
      <c r="R140" s="19"/>
    </row>
    <row r="141" spans="2:18" ht="14.5" thickBot="1" x14ac:dyDescent="0.35">
      <c r="B141" s="65"/>
      <c r="C141" s="1182"/>
      <c r="D141" s="1182"/>
      <c r="E141" s="1182"/>
      <c r="F141" s="1182"/>
      <c r="G141" s="1182"/>
      <c r="H141" s="1182"/>
      <c r="I141" s="1182"/>
      <c r="J141" s="1182"/>
      <c r="K141" s="66"/>
      <c r="L141" s="66"/>
      <c r="M141" s="66"/>
      <c r="N141" s="66"/>
      <c r="O141" s="64"/>
    </row>
    <row r="142" spans="2:18" ht="59.25" customHeight="1" thickBot="1" x14ac:dyDescent="0.35">
      <c r="B142" s="65"/>
      <c r="C142" s="1171" t="s">
        <v>216</v>
      </c>
      <c r="D142" s="1171"/>
      <c r="E142" s="1183"/>
      <c r="F142" s="1184"/>
      <c r="G142" s="1184"/>
      <c r="H142" s="1184"/>
      <c r="I142" s="1184"/>
      <c r="J142" s="1185"/>
      <c r="K142" s="66"/>
      <c r="L142" s="66"/>
      <c r="M142" s="66"/>
      <c r="N142" s="66"/>
      <c r="O142" s="64"/>
    </row>
    <row r="143" spans="2:18" ht="100" customHeight="1" thickBot="1" x14ac:dyDescent="0.35">
      <c r="B143" s="65"/>
      <c r="C143" s="1171" t="s">
        <v>217</v>
      </c>
      <c r="D143" s="1171"/>
      <c r="E143" s="1172"/>
      <c r="F143" s="1173"/>
      <c r="G143" s="1173"/>
      <c r="H143" s="1173"/>
      <c r="I143" s="1173"/>
      <c r="J143" s="1174"/>
      <c r="K143" s="66"/>
      <c r="L143" s="66"/>
      <c r="M143" s="66"/>
      <c r="N143" s="66"/>
      <c r="O143" s="64"/>
    </row>
    <row r="144" spans="2:18" x14ac:dyDescent="0.3">
      <c r="B144" s="65"/>
      <c r="C144" s="44"/>
      <c r="D144" s="44"/>
      <c r="E144" s="66"/>
      <c r="F144" s="66"/>
      <c r="G144" s="66"/>
      <c r="H144" s="66"/>
      <c r="I144" s="66"/>
      <c r="J144" s="66"/>
      <c r="K144" s="66"/>
      <c r="L144" s="66"/>
      <c r="M144" s="66"/>
      <c r="N144" s="66"/>
      <c r="O144" s="64"/>
    </row>
    <row r="145" spans="2:18" ht="14.5" thickBot="1" x14ac:dyDescent="0.35">
      <c r="B145" s="67"/>
      <c r="C145" s="1175"/>
      <c r="D145" s="1175"/>
      <c r="E145" s="68"/>
      <c r="F145" s="68"/>
      <c r="G145" s="68"/>
      <c r="H145" s="68"/>
      <c r="I145" s="68"/>
      <c r="J145" s="49"/>
      <c r="K145" s="49"/>
      <c r="L145" s="49"/>
      <c r="M145" s="49"/>
      <c r="N145" s="49"/>
      <c r="O145" s="69"/>
    </row>
    <row r="146" spans="2:18" s="24" customFormat="1" ht="65.150000000000006" customHeight="1" x14ac:dyDescent="0.3">
      <c r="B146" s="23"/>
      <c r="C146" s="1176"/>
      <c r="D146" s="1176"/>
      <c r="E146" s="1177"/>
      <c r="F146" s="1177"/>
      <c r="G146" s="1177"/>
      <c r="H146" s="1177"/>
      <c r="I146" s="1177"/>
      <c r="J146" s="1177"/>
      <c r="R146" s="573"/>
    </row>
  </sheetData>
  <mergeCells count="134">
    <mergeCell ref="E103:E116"/>
    <mergeCell ref="K75:N75"/>
    <mergeCell ref="E76:E77"/>
    <mergeCell ref="F76:F77"/>
    <mergeCell ref="G76:G77"/>
    <mergeCell ref="H76:H77"/>
    <mergeCell ref="I76:I77"/>
    <mergeCell ref="J76:J77"/>
    <mergeCell ref="K76:L76"/>
    <mergeCell ref="M76:N76"/>
    <mergeCell ref="E102:I102"/>
    <mergeCell ref="H103:H105"/>
    <mergeCell ref="H106:H108"/>
    <mergeCell ref="H109:H110"/>
    <mergeCell ref="H111:H112"/>
    <mergeCell ref="E92:I92"/>
    <mergeCell ref="E93:E101"/>
    <mergeCell ref="F93:F101"/>
    <mergeCell ref="H93:H94"/>
    <mergeCell ref="H95:H97"/>
    <mergeCell ref="H98:H99"/>
    <mergeCell ref="H100:H101"/>
    <mergeCell ref="G93:G97"/>
    <mergeCell ref="E9:J9"/>
    <mergeCell ref="E42:I42"/>
    <mergeCell ref="E43:E52"/>
    <mergeCell ref="F43:F52"/>
    <mergeCell ref="H43:H45"/>
    <mergeCell ref="H46:H48"/>
    <mergeCell ref="H49:H50"/>
    <mergeCell ref="H51:H52"/>
    <mergeCell ref="E32:I32"/>
    <mergeCell ref="E33:E41"/>
    <mergeCell ref="F33:F41"/>
    <mergeCell ref="H33:H34"/>
    <mergeCell ref="H35:H37"/>
    <mergeCell ref="H38:H39"/>
    <mergeCell ref="H40:H41"/>
    <mergeCell ref="G33:G37"/>
    <mergeCell ref="G38:G41"/>
    <mergeCell ref="G43:G48"/>
    <mergeCell ref="G49:G52"/>
    <mergeCell ref="C3:N3"/>
    <mergeCell ref="C14:J14"/>
    <mergeCell ref="C16:D16"/>
    <mergeCell ref="C17:D17"/>
    <mergeCell ref="E18:E31"/>
    <mergeCell ref="F18:F31"/>
    <mergeCell ref="H18:H22"/>
    <mergeCell ref="H23:H25"/>
    <mergeCell ref="H26:H27"/>
    <mergeCell ref="H28:H29"/>
    <mergeCell ref="H30:H31"/>
    <mergeCell ref="G18:G27"/>
    <mergeCell ref="G28:G31"/>
    <mergeCell ref="C10:D10"/>
    <mergeCell ref="E10:J10"/>
    <mergeCell ref="C11:D11"/>
    <mergeCell ref="E11:J11"/>
    <mergeCell ref="C13:D13"/>
    <mergeCell ref="E13:J13"/>
    <mergeCell ref="B4:J4"/>
    <mergeCell ref="C5:J5"/>
    <mergeCell ref="C7:D7"/>
    <mergeCell ref="C8:J8"/>
    <mergeCell ref="C9:D9"/>
    <mergeCell ref="E63:I63"/>
    <mergeCell ref="E64:E71"/>
    <mergeCell ref="F64:F71"/>
    <mergeCell ref="H64:H65"/>
    <mergeCell ref="H66:H67"/>
    <mergeCell ref="H68:H69"/>
    <mergeCell ref="H70:H71"/>
    <mergeCell ref="E53:I53"/>
    <mergeCell ref="E54:E62"/>
    <mergeCell ref="F54:F62"/>
    <mergeCell ref="H54:H55"/>
    <mergeCell ref="H56:H57"/>
    <mergeCell ref="H58:H60"/>
    <mergeCell ref="H61:H62"/>
    <mergeCell ref="G54:G57"/>
    <mergeCell ref="G58:G62"/>
    <mergeCell ref="G64:G67"/>
    <mergeCell ref="G68:G71"/>
    <mergeCell ref="E72:I72"/>
    <mergeCell ref="C75:D75"/>
    <mergeCell ref="E78:E91"/>
    <mergeCell ref="F78:F91"/>
    <mergeCell ref="H78:H82"/>
    <mergeCell ref="H83:H85"/>
    <mergeCell ref="H86:H87"/>
    <mergeCell ref="H88:H89"/>
    <mergeCell ref="H90:H91"/>
    <mergeCell ref="E73:I73"/>
    <mergeCell ref="G78:G87"/>
    <mergeCell ref="G88:G91"/>
    <mergeCell ref="C76:D80"/>
    <mergeCell ref="G98:G101"/>
    <mergeCell ref="G103:G108"/>
    <mergeCell ref="E127:I127"/>
    <mergeCell ref="E128:E135"/>
    <mergeCell ref="F128:F135"/>
    <mergeCell ref="H128:H129"/>
    <mergeCell ref="H130:H131"/>
    <mergeCell ref="H132:H133"/>
    <mergeCell ref="H134:H135"/>
    <mergeCell ref="E117:I117"/>
    <mergeCell ref="E118:E126"/>
    <mergeCell ref="F118:F126"/>
    <mergeCell ref="H118:H119"/>
    <mergeCell ref="H120:H121"/>
    <mergeCell ref="H122:H124"/>
    <mergeCell ref="H125:H126"/>
    <mergeCell ref="G118:G121"/>
    <mergeCell ref="G122:G126"/>
    <mergeCell ref="G128:G131"/>
    <mergeCell ref="G132:G135"/>
    <mergeCell ref="H113:H114"/>
    <mergeCell ref="H115:H116"/>
    <mergeCell ref="G109:G116"/>
    <mergeCell ref="F103:F116"/>
    <mergeCell ref="C143:D143"/>
    <mergeCell ref="E143:J143"/>
    <mergeCell ref="C145:D145"/>
    <mergeCell ref="C146:D146"/>
    <mergeCell ref="E146:J146"/>
    <mergeCell ref="E136:I136"/>
    <mergeCell ref="C139:J139"/>
    <mergeCell ref="C140:D140"/>
    <mergeCell ref="E140:J140"/>
    <mergeCell ref="C141:J141"/>
    <mergeCell ref="C142:D142"/>
    <mergeCell ref="E142:J142"/>
    <mergeCell ref="E137:I137"/>
  </mergeCells>
  <dataValidations count="1">
    <dataValidation type="whole" allowBlank="1" showInputMessage="1" showErrorMessage="1" sqref="E9:I10 E142:I142" xr:uid="{00000000-0002-0000-0600-000000000000}">
      <formula1>-999999999</formula1>
      <formula2>999999999</formula2>
    </dataValidation>
  </dataValidations>
  <pageMargins left="0.25" right="0.25" top="0.18" bottom="0.19" header="0.17" footer="0.17"/>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S141"/>
  <sheetViews>
    <sheetView topLeftCell="A4" workbookViewId="0">
      <selection activeCell="E13" sqref="E13:I13"/>
    </sheetView>
  </sheetViews>
  <sheetFormatPr defaultColWidth="9.1796875" defaultRowHeight="14" x14ac:dyDescent="0.3"/>
  <cols>
    <col min="1" max="1" width="1.453125" style="19" customWidth="1"/>
    <col min="2" max="2" width="1.54296875" style="18" customWidth="1"/>
    <col min="3" max="3" width="10.453125" style="18" customWidth="1"/>
    <col min="4" max="4" width="21" style="18" customWidth="1"/>
    <col min="5" max="5" width="12" style="19" customWidth="1"/>
    <col min="6" max="6" width="13" style="19" customWidth="1"/>
    <col min="7" max="7" width="16" style="19" customWidth="1"/>
    <col min="8" max="8" width="50.81640625" style="19" customWidth="1"/>
    <col min="9" max="9" width="12.54296875" style="19" customWidth="1"/>
    <col min="10" max="10" width="13.453125" style="19" hidden="1" customWidth="1"/>
    <col min="11" max="11" width="11.1796875" style="19" customWidth="1"/>
    <col min="12" max="12" width="6.1796875" style="19" customWidth="1"/>
    <col min="13" max="13" width="13.1796875" style="19" bestFit="1" customWidth="1"/>
    <col min="14" max="14" width="15.54296875" style="19" bestFit="1" customWidth="1"/>
    <col min="15" max="15" width="15.54296875" style="341" bestFit="1" customWidth="1"/>
    <col min="16" max="17" width="18.1796875" style="19" customWidth="1"/>
    <col min="18" max="18" width="18.453125" style="19" customWidth="1"/>
    <col min="19" max="19" width="9.453125" style="19" customWidth="1"/>
    <col min="20" max="16384" width="9.1796875" style="19"/>
  </cols>
  <sheetData>
    <row r="1" spans="2:19" ht="14.5" thickBot="1" x14ac:dyDescent="0.35">
      <c r="N1" s="628">
        <f>'PTBA-ANDZOA'!AW69</f>
        <v>3524045.5137754441</v>
      </c>
    </row>
    <row r="2" spans="2:19" ht="14.5" thickBot="1" x14ac:dyDescent="0.35">
      <c r="B2" s="59"/>
      <c r="C2" s="60"/>
      <c r="D2" s="60"/>
      <c r="E2" s="61"/>
      <c r="F2" s="61"/>
      <c r="G2" s="61"/>
      <c r="H2" s="61"/>
      <c r="I2" s="61"/>
      <c r="J2" s="61"/>
      <c r="K2" s="61"/>
      <c r="L2" s="62"/>
    </row>
    <row r="3" spans="2:19" ht="18" thickBot="1" x14ac:dyDescent="0.4">
      <c r="B3" s="63"/>
      <c r="C3" s="1248" t="s">
        <v>1190</v>
      </c>
      <c r="D3" s="1249"/>
      <c r="E3" s="1249"/>
      <c r="F3" s="1249"/>
      <c r="G3" s="1249"/>
      <c r="H3" s="1249"/>
      <c r="I3" s="1249"/>
      <c r="J3" s="1250"/>
      <c r="K3" s="66"/>
      <c r="L3" s="64"/>
    </row>
    <row r="4" spans="2:19" x14ac:dyDescent="0.3">
      <c r="B4" s="1231"/>
      <c r="C4" s="1232"/>
      <c r="D4" s="1232"/>
      <c r="E4" s="1232"/>
      <c r="F4" s="1232"/>
      <c r="G4" s="1232"/>
      <c r="H4" s="1232"/>
      <c r="I4" s="1232"/>
      <c r="J4" s="66"/>
      <c r="K4" s="66"/>
      <c r="L4" s="64"/>
    </row>
    <row r="5" spans="2:19" x14ac:dyDescent="0.3">
      <c r="B5" s="65"/>
      <c r="C5" s="1233"/>
      <c r="D5" s="1233"/>
      <c r="E5" s="1233"/>
      <c r="F5" s="1233"/>
      <c r="G5" s="1233"/>
      <c r="H5" s="1233"/>
      <c r="I5" s="1233"/>
      <c r="J5" s="66"/>
      <c r="K5" s="66"/>
      <c r="L5" s="64"/>
    </row>
    <row r="6" spans="2:19" x14ac:dyDescent="0.3">
      <c r="B6" s="65"/>
      <c r="C6" s="39"/>
      <c r="D6" s="44"/>
      <c r="E6" s="40"/>
      <c r="F6" s="40"/>
      <c r="G6" s="40"/>
      <c r="H6" s="40"/>
      <c r="I6" s="66"/>
      <c r="J6" s="66"/>
      <c r="K6" s="66"/>
      <c r="L6" s="64"/>
    </row>
    <row r="7" spans="2:19" x14ac:dyDescent="0.3">
      <c r="B7" s="65"/>
      <c r="C7" s="1171" t="s">
        <v>234</v>
      </c>
      <c r="D7" s="1171"/>
      <c r="E7" s="41"/>
      <c r="F7" s="41"/>
      <c r="G7" s="41"/>
      <c r="H7" s="41"/>
      <c r="I7" s="66"/>
      <c r="J7" s="66"/>
      <c r="K7" s="66"/>
      <c r="L7" s="64"/>
    </row>
    <row r="8" spans="2:19" ht="27.75" customHeight="1" thickBot="1" x14ac:dyDescent="0.35">
      <c r="B8" s="65"/>
      <c r="C8" s="1234" t="s">
        <v>243</v>
      </c>
      <c r="D8" s="1234"/>
      <c r="E8" s="1234"/>
      <c r="F8" s="1234"/>
      <c r="G8" s="1234"/>
      <c r="H8" s="1234"/>
      <c r="I8" s="1234"/>
      <c r="J8" s="66"/>
      <c r="K8" s="66"/>
      <c r="L8" s="64"/>
      <c r="M8" s="722"/>
    </row>
    <row r="9" spans="2:19" ht="27.75" customHeight="1" thickBot="1" x14ac:dyDescent="0.35">
      <c r="B9" s="65"/>
      <c r="C9" s="1221" t="s">
        <v>1172</v>
      </c>
      <c r="D9" s="1221"/>
      <c r="E9" s="1222">
        <f>1695936+2883062</f>
        <v>4578998</v>
      </c>
      <c r="F9" s="1223"/>
      <c r="G9" s="1223"/>
      <c r="H9" s="1223"/>
      <c r="I9" s="1224"/>
      <c r="J9" s="66"/>
      <c r="K9" s="66"/>
      <c r="L9" s="64"/>
    </row>
    <row r="10" spans="2:19" ht="33.75" customHeight="1" thickBot="1" x14ac:dyDescent="0.35">
      <c r="B10" s="65"/>
      <c r="C10" s="1221" t="s">
        <v>1197</v>
      </c>
      <c r="D10" s="1221"/>
      <c r="E10" s="1222">
        <f>1695936+3524046</f>
        <v>5219982</v>
      </c>
      <c r="F10" s="1223"/>
      <c r="G10" s="1223"/>
      <c r="H10" s="1223"/>
      <c r="I10" s="1224"/>
      <c r="J10" s="66"/>
      <c r="K10" s="66"/>
      <c r="L10" s="64"/>
    </row>
    <row r="11" spans="2:19" ht="72" customHeight="1" thickBot="1" x14ac:dyDescent="0.35">
      <c r="B11" s="65"/>
      <c r="C11" s="1171" t="s">
        <v>235</v>
      </c>
      <c r="D11" s="1171"/>
      <c r="E11" s="1225"/>
      <c r="F11" s="1226"/>
      <c r="G11" s="1226"/>
      <c r="H11" s="1226"/>
      <c r="I11" s="1227"/>
      <c r="J11" s="66"/>
      <c r="K11" s="66"/>
      <c r="L11" s="64"/>
    </row>
    <row r="12" spans="2:19" ht="14.5" thickBot="1" x14ac:dyDescent="0.35">
      <c r="B12" s="65"/>
      <c r="C12" s="44"/>
      <c r="D12" s="44"/>
      <c r="E12" s="66"/>
      <c r="F12" s="66"/>
      <c r="G12" s="66"/>
      <c r="H12" s="66"/>
      <c r="I12" s="66"/>
      <c r="J12" s="66"/>
      <c r="K12" s="66"/>
      <c r="L12" s="64"/>
    </row>
    <row r="13" spans="2:19" ht="18.75" customHeight="1" thickBot="1" x14ac:dyDescent="0.35">
      <c r="B13" s="65"/>
      <c r="C13" s="1171" t="s">
        <v>304</v>
      </c>
      <c r="D13" s="1171"/>
      <c r="E13" s="1228">
        <f>(205484+360288.96)/9.64460787102245</f>
        <v>58662.100892653601</v>
      </c>
      <c r="F13" s="1229"/>
      <c r="G13" s="1229"/>
      <c r="H13" s="1229"/>
      <c r="I13" s="1230"/>
      <c r="J13" s="66"/>
      <c r="K13" s="66"/>
      <c r="L13" s="64"/>
      <c r="N13" s="341"/>
      <c r="P13" s="341"/>
    </row>
    <row r="14" spans="2:19" ht="15" customHeight="1" x14ac:dyDescent="0.3">
      <c r="B14" s="65"/>
      <c r="C14" s="1220" t="s">
        <v>303</v>
      </c>
      <c r="D14" s="1220"/>
      <c r="E14" s="1220"/>
      <c r="F14" s="1220"/>
      <c r="G14" s="1220"/>
      <c r="H14" s="1220"/>
      <c r="I14" s="1220"/>
      <c r="J14" s="66"/>
      <c r="K14" s="66"/>
      <c r="L14" s="64"/>
      <c r="P14" s="342"/>
    </row>
    <row r="15" spans="2:19" ht="15" customHeight="1" x14ac:dyDescent="0.3">
      <c r="B15" s="65"/>
      <c r="C15" s="142"/>
      <c r="D15" s="142"/>
      <c r="E15" s="142"/>
      <c r="F15" s="142"/>
      <c r="G15" s="142"/>
      <c r="H15" s="142"/>
      <c r="I15" s="142"/>
      <c r="J15" s="66"/>
      <c r="K15" s="66"/>
      <c r="L15" s="64"/>
      <c r="P15" s="342"/>
    </row>
    <row r="16" spans="2:19" x14ac:dyDescent="0.3">
      <c r="B16" s="65"/>
      <c r="C16" s="1171" t="s">
        <v>218</v>
      </c>
      <c r="D16" s="1171"/>
      <c r="E16" s="66"/>
      <c r="F16" s="66"/>
      <c r="G16" s="66"/>
      <c r="H16" s="66"/>
      <c r="I16" s="66"/>
      <c r="J16" s="66"/>
      <c r="K16" s="66"/>
      <c r="L16" s="64"/>
      <c r="N16" s="20"/>
      <c r="O16" s="572"/>
      <c r="P16" s="20"/>
      <c r="Q16" s="20"/>
      <c r="R16" s="20"/>
      <c r="S16" s="20"/>
    </row>
    <row r="17" spans="2:19" ht="50.15" customHeight="1" x14ac:dyDescent="0.3">
      <c r="B17" s="65"/>
      <c r="C17" s="1171" t="s">
        <v>767</v>
      </c>
      <c r="D17" s="1171"/>
      <c r="E17" s="360" t="s">
        <v>1027</v>
      </c>
      <c r="F17" s="360" t="s">
        <v>859</v>
      </c>
      <c r="G17" s="360" t="s">
        <v>1024</v>
      </c>
      <c r="H17" s="360" t="s">
        <v>865</v>
      </c>
      <c r="I17" s="360" t="s">
        <v>219</v>
      </c>
      <c r="J17" s="66"/>
      <c r="K17" s="66"/>
      <c r="L17" s="64"/>
      <c r="N17" s="20"/>
      <c r="O17" s="572"/>
      <c r="P17" s="21"/>
      <c r="Q17" s="21"/>
      <c r="R17" s="21"/>
      <c r="S17" s="20"/>
    </row>
    <row r="18" spans="2:19" ht="23" x14ac:dyDescent="0.3">
      <c r="B18" s="65"/>
      <c r="C18" s="350"/>
      <c r="D18" s="350"/>
      <c r="E18" s="1193" t="s">
        <v>983</v>
      </c>
      <c r="F18" s="1241" t="s">
        <v>860</v>
      </c>
      <c r="G18" s="1195" t="s">
        <v>982</v>
      </c>
      <c r="H18" s="361" t="s">
        <v>1028</v>
      </c>
      <c r="I18" s="362">
        <f>'PTBA-ANDZOA'!S4</f>
        <v>0</v>
      </c>
      <c r="J18" s="66"/>
      <c r="K18" s="66"/>
      <c r="L18" s="64"/>
      <c r="N18" s="574"/>
      <c r="O18" s="572"/>
      <c r="P18" s="351"/>
      <c r="Q18" s="351"/>
      <c r="R18" s="351"/>
      <c r="S18" s="20"/>
    </row>
    <row r="19" spans="2:19" x14ac:dyDescent="0.3">
      <c r="B19" s="65"/>
      <c r="C19" s="350"/>
      <c r="D19" s="350"/>
      <c r="E19" s="1193"/>
      <c r="F19" s="1241"/>
      <c r="G19" s="1195"/>
      <c r="H19" s="361" t="s">
        <v>1029</v>
      </c>
      <c r="I19" s="362">
        <f>'PTBA-ANDZOA'!S5</f>
        <v>528792.88284214458</v>
      </c>
      <c r="J19" s="66"/>
      <c r="K19" s="66"/>
      <c r="L19" s="64"/>
      <c r="N19" s="574"/>
      <c r="O19" s="572"/>
      <c r="P19" s="351"/>
      <c r="Q19" s="351"/>
      <c r="R19" s="351"/>
      <c r="S19" s="20"/>
    </row>
    <row r="20" spans="2:19" x14ac:dyDescent="0.3">
      <c r="B20" s="65"/>
      <c r="C20" s="350"/>
      <c r="D20" s="350"/>
      <c r="E20" s="1193"/>
      <c r="F20" s="1241"/>
      <c r="G20" s="1195"/>
      <c r="H20" s="361" t="s">
        <v>1030</v>
      </c>
      <c r="I20" s="362">
        <f>'PTBA-ANDZOA'!S6</f>
        <v>7880.0508031378413</v>
      </c>
      <c r="J20" s="66"/>
      <c r="K20" s="66"/>
      <c r="L20" s="64"/>
      <c r="N20" s="574"/>
      <c r="O20" s="572"/>
      <c r="P20" s="351"/>
      <c r="Q20" s="351"/>
      <c r="R20" s="351"/>
      <c r="S20" s="20"/>
    </row>
    <row r="21" spans="2:19" x14ac:dyDescent="0.3">
      <c r="B21" s="65"/>
      <c r="C21" s="350"/>
      <c r="D21" s="350"/>
      <c r="E21" s="1193"/>
      <c r="F21" s="1241"/>
      <c r="G21" s="1195"/>
      <c r="H21" s="361" t="s">
        <v>975</v>
      </c>
      <c r="I21" s="568" t="str">
        <f>'PTBA-ANDZOA'!S7</f>
        <v>--</v>
      </c>
      <c r="J21" s="66"/>
      <c r="K21" s="66"/>
      <c r="L21" s="64"/>
      <c r="N21" s="574"/>
      <c r="O21" s="572"/>
      <c r="P21" s="351"/>
      <c r="Q21" s="351"/>
      <c r="R21" s="351"/>
      <c r="S21" s="20"/>
    </row>
    <row r="22" spans="2:19" ht="23" x14ac:dyDescent="0.3">
      <c r="B22" s="65"/>
      <c r="C22" s="350"/>
      <c r="D22" s="350"/>
      <c r="E22" s="1193"/>
      <c r="F22" s="1241"/>
      <c r="G22" s="1195"/>
      <c r="H22" s="361" t="s">
        <v>976</v>
      </c>
      <c r="I22" s="568" t="str">
        <f>'PTBA-ANDZOA'!S8</f>
        <v>--</v>
      </c>
      <c r="J22" s="66"/>
      <c r="K22" s="66"/>
      <c r="L22" s="64"/>
      <c r="N22" s="574"/>
      <c r="O22" s="572"/>
      <c r="P22" s="351"/>
      <c r="Q22" s="351"/>
      <c r="R22" s="351"/>
      <c r="S22" s="20"/>
    </row>
    <row r="23" spans="2:19" ht="23" x14ac:dyDescent="0.3">
      <c r="B23" s="65"/>
      <c r="C23" s="350"/>
      <c r="D23" s="350"/>
      <c r="E23" s="1193"/>
      <c r="F23" s="1241"/>
      <c r="G23" s="1195" t="s">
        <v>903</v>
      </c>
      <c r="H23" s="361" t="s">
        <v>1031</v>
      </c>
      <c r="I23" s="568">
        <f>'PTBA-ANDZOA'!S9</f>
        <v>67395.171342626272</v>
      </c>
      <c r="J23" s="66"/>
      <c r="K23" s="66"/>
      <c r="L23" s="64"/>
      <c r="N23" s="574"/>
      <c r="O23" s="572"/>
      <c r="P23" s="351"/>
      <c r="Q23" s="351"/>
      <c r="R23" s="351"/>
      <c r="S23" s="20"/>
    </row>
    <row r="24" spans="2:19" x14ac:dyDescent="0.3">
      <c r="B24" s="65"/>
      <c r="C24" s="350"/>
      <c r="D24" s="350"/>
      <c r="E24" s="1193"/>
      <c r="F24" s="1241"/>
      <c r="G24" s="1195"/>
      <c r="H24" s="361" t="s">
        <v>977</v>
      </c>
      <c r="I24" s="568">
        <f>'PTBA-ANDZOA'!S10</f>
        <v>493540.02398600167</v>
      </c>
      <c r="J24" s="66"/>
      <c r="K24" s="66"/>
      <c r="L24" s="64"/>
      <c r="N24" s="574"/>
      <c r="O24" s="572"/>
      <c r="P24" s="351"/>
      <c r="Q24" s="351"/>
      <c r="R24" s="351"/>
      <c r="S24" s="20"/>
    </row>
    <row r="25" spans="2:19" ht="23" x14ac:dyDescent="0.3">
      <c r="B25" s="65"/>
      <c r="C25" s="350"/>
      <c r="D25" s="350"/>
      <c r="E25" s="1193"/>
      <c r="F25" s="1241"/>
      <c r="G25" s="1195"/>
      <c r="H25" s="361" t="s">
        <v>978</v>
      </c>
      <c r="I25" s="568" t="str">
        <f>'PTBA-ANDZOA'!S11</f>
        <v>--</v>
      </c>
      <c r="J25" s="66"/>
      <c r="K25" s="66"/>
      <c r="L25" s="64"/>
      <c r="N25" s="574"/>
      <c r="O25" s="572"/>
      <c r="P25" s="351"/>
      <c r="Q25" s="351"/>
      <c r="R25" s="351"/>
      <c r="S25" s="20"/>
    </row>
    <row r="26" spans="2:19" ht="23" x14ac:dyDescent="0.3">
      <c r="B26" s="65"/>
      <c r="C26" s="350"/>
      <c r="D26" s="350"/>
      <c r="E26" s="1193"/>
      <c r="F26" s="1241"/>
      <c r="G26" s="1195" t="s">
        <v>906</v>
      </c>
      <c r="H26" s="361" t="s">
        <v>1167</v>
      </c>
      <c r="I26" s="568">
        <f>'PTBA-ANDZOA'!S12</f>
        <v>388818.29620745929</v>
      </c>
      <c r="J26" s="66"/>
      <c r="K26" s="66"/>
      <c r="L26" s="64"/>
      <c r="N26" s="574"/>
      <c r="O26" s="572"/>
      <c r="P26" s="351"/>
      <c r="Q26" s="351"/>
      <c r="R26" s="351"/>
      <c r="S26" s="20"/>
    </row>
    <row r="27" spans="2:19" ht="23" x14ac:dyDescent="0.3">
      <c r="B27" s="65"/>
      <c r="C27" s="350"/>
      <c r="D27" s="350"/>
      <c r="E27" s="1193"/>
      <c r="F27" s="1241"/>
      <c r="G27" s="1195"/>
      <c r="H27" s="361" t="s">
        <v>993</v>
      </c>
      <c r="I27" s="568">
        <f>'PTBA-ANDZOA'!S13</f>
        <v>115090.21567740795</v>
      </c>
      <c r="J27" s="66"/>
      <c r="K27" s="66"/>
      <c r="L27" s="64"/>
      <c r="N27" s="574"/>
      <c r="O27" s="572"/>
      <c r="P27" s="351"/>
      <c r="Q27" s="351"/>
      <c r="R27" s="351"/>
      <c r="S27" s="20"/>
    </row>
    <row r="28" spans="2:19" ht="23" x14ac:dyDescent="0.3">
      <c r="B28" s="65"/>
      <c r="C28" s="350"/>
      <c r="D28" s="350"/>
      <c r="E28" s="1193"/>
      <c r="F28" s="1241"/>
      <c r="G28" s="1195" t="s">
        <v>910</v>
      </c>
      <c r="H28" s="361" t="s">
        <v>979</v>
      </c>
      <c r="I28" s="568" t="str">
        <f>'PTBA-ANDZOA'!S14</f>
        <v>--</v>
      </c>
      <c r="J28" s="66"/>
      <c r="K28" s="66"/>
      <c r="L28" s="64"/>
      <c r="N28" s="574"/>
      <c r="O28" s="572"/>
      <c r="P28" s="351"/>
      <c r="Q28" s="351"/>
      <c r="R28" s="351"/>
      <c r="S28" s="20"/>
    </row>
    <row r="29" spans="2:19" x14ac:dyDescent="0.3">
      <c r="B29" s="65"/>
      <c r="C29" s="350"/>
      <c r="D29" s="350"/>
      <c r="E29" s="1193"/>
      <c r="F29" s="1241"/>
      <c r="G29" s="1195"/>
      <c r="H29" s="361" t="s">
        <v>1034</v>
      </c>
      <c r="I29" s="568">
        <f>'PTBA-ANDZOA'!S15</f>
        <v>670841.16705660312</v>
      </c>
      <c r="J29" s="66"/>
      <c r="K29" s="66"/>
      <c r="L29" s="64"/>
      <c r="N29" s="574"/>
      <c r="O29" s="572"/>
      <c r="P29" s="351"/>
      <c r="Q29" s="351"/>
      <c r="R29" s="351"/>
      <c r="S29" s="20"/>
    </row>
    <row r="30" spans="2:19" ht="23" x14ac:dyDescent="0.3">
      <c r="B30" s="65"/>
      <c r="C30" s="350"/>
      <c r="D30" s="350"/>
      <c r="E30" s="1193"/>
      <c r="F30" s="1241"/>
      <c r="G30" s="1195" t="s">
        <v>913</v>
      </c>
      <c r="H30" s="361" t="s">
        <v>980</v>
      </c>
      <c r="I30" s="568" t="str">
        <f>'PTBA-ANDZOA'!S16</f>
        <v>--</v>
      </c>
      <c r="J30" s="66"/>
      <c r="K30" s="66"/>
      <c r="L30" s="64"/>
      <c r="N30" s="574"/>
      <c r="O30" s="572"/>
      <c r="P30" s="351"/>
      <c r="Q30" s="351"/>
      <c r="R30" s="351"/>
      <c r="S30" s="20"/>
    </row>
    <row r="31" spans="2:19" ht="23" x14ac:dyDescent="0.3">
      <c r="B31" s="65"/>
      <c r="C31" s="350"/>
      <c r="D31" s="350"/>
      <c r="E31" s="1193"/>
      <c r="F31" s="1241"/>
      <c r="G31" s="1195"/>
      <c r="H31" s="361" t="s">
        <v>981</v>
      </c>
      <c r="I31" s="568">
        <f>'PTBA-ANDZOA'!S17</f>
        <v>299649.30027721531</v>
      </c>
      <c r="J31" s="66"/>
      <c r="K31" s="66"/>
      <c r="L31" s="64"/>
      <c r="N31" s="574"/>
      <c r="O31" s="572"/>
      <c r="P31" s="351"/>
      <c r="Q31" s="351"/>
      <c r="R31" s="351"/>
      <c r="S31" s="20"/>
    </row>
    <row r="32" spans="2:19" x14ac:dyDescent="0.3">
      <c r="B32" s="65"/>
      <c r="C32" s="350"/>
      <c r="D32" s="350"/>
      <c r="E32" s="1204" t="s">
        <v>866</v>
      </c>
      <c r="F32" s="1205"/>
      <c r="G32" s="1205"/>
      <c r="H32" s="1206"/>
      <c r="I32" s="352">
        <f>SUM(I18:I31)</f>
        <v>2572007.1081925966</v>
      </c>
      <c r="J32" s="66"/>
      <c r="K32" s="66"/>
      <c r="L32" s="64"/>
      <c r="N32" s="574"/>
      <c r="O32" s="572"/>
      <c r="P32" s="351"/>
      <c r="Q32" s="351"/>
      <c r="R32" s="351"/>
      <c r="S32" s="20"/>
    </row>
    <row r="33" spans="2:19" ht="23" x14ac:dyDescent="0.3">
      <c r="B33" s="65"/>
      <c r="C33" s="350"/>
      <c r="D33" s="350"/>
      <c r="E33" s="1193" t="s">
        <v>1025</v>
      </c>
      <c r="F33" s="1243" t="s">
        <v>861</v>
      </c>
      <c r="G33" s="1195" t="s">
        <v>917</v>
      </c>
      <c r="H33" s="361" t="s">
        <v>984</v>
      </c>
      <c r="I33" s="362">
        <f>'PTBA-ANDZOA'!S19</f>
        <v>37699.82200027525</v>
      </c>
      <c r="J33" s="66"/>
      <c r="K33" s="66"/>
      <c r="L33" s="64"/>
      <c r="N33" s="574"/>
      <c r="O33" s="572"/>
      <c r="P33" s="351"/>
      <c r="Q33" s="351"/>
      <c r="R33" s="351"/>
      <c r="S33" s="20"/>
    </row>
    <row r="34" spans="2:19" ht="23" x14ac:dyDescent="0.3">
      <c r="B34" s="65"/>
      <c r="C34" s="350"/>
      <c r="D34" s="350"/>
      <c r="E34" s="1193"/>
      <c r="F34" s="1244"/>
      <c r="G34" s="1195"/>
      <c r="H34" s="361" t="s">
        <v>985</v>
      </c>
      <c r="I34" s="362">
        <f>'PTBA-ANDZOA'!S20</f>
        <v>0</v>
      </c>
      <c r="J34" s="66"/>
      <c r="K34" s="66"/>
      <c r="L34" s="64"/>
      <c r="N34" s="574"/>
      <c r="O34" s="572"/>
      <c r="P34" s="351"/>
      <c r="Q34" s="351"/>
      <c r="R34" s="351"/>
      <c r="S34" s="20"/>
    </row>
    <row r="35" spans="2:19" x14ac:dyDescent="0.3">
      <c r="B35" s="65"/>
      <c r="C35" s="350"/>
      <c r="D35" s="350"/>
      <c r="E35" s="1193"/>
      <c r="F35" s="1244"/>
      <c r="G35" s="1195" t="s">
        <v>920</v>
      </c>
      <c r="H35" s="361" t="s">
        <v>986</v>
      </c>
      <c r="I35" s="362">
        <f>'PTBA-ANDZOA'!S21</f>
        <v>103684.87898865581</v>
      </c>
      <c r="J35" s="66"/>
      <c r="K35" s="66"/>
      <c r="L35" s="64"/>
      <c r="N35" s="574"/>
      <c r="O35" s="572"/>
      <c r="P35" s="351"/>
      <c r="Q35" s="351"/>
      <c r="R35" s="351"/>
      <c r="S35" s="20"/>
    </row>
    <row r="36" spans="2:19" x14ac:dyDescent="0.3">
      <c r="B36" s="65"/>
      <c r="C36" s="350"/>
      <c r="D36" s="350"/>
      <c r="E36" s="1193"/>
      <c r="F36" s="1244"/>
      <c r="G36" s="1195"/>
      <c r="H36" s="361" t="s">
        <v>987</v>
      </c>
      <c r="I36" s="362">
        <f>'PTBA-ANDZOA'!S22</f>
        <v>45318.327696164211</v>
      </c>
      <c r="J36" s="66"/>
      <c r="K36" s="66"/>
      <c r="L36" s="64"/>
      <c r="N36" s="574"/>
      <c r="O36" s="572"/>
      <c r="P36" s="351"/>
      <c r="Q36" s="351"/>
      <c r="R36" s="351"/>
      <c r="S36" s="20"/>
    </row>
    <row r="37" spans="2:19" x14ac:dyDescent="0.3">
      <c r="B37" s="65"/>
      <c r="C37" s="350"/>
      <c r="D37" s="350"/>
      <c r="E37" s="1193"/>
      <c r="F37" s="1244"/>
      <c r="G37" s="1195"/>
      <c r="H37" s="361" t="s">
        <v>988</v>
      </c>
      <c r="I37" s="362">
        <f>'PTBA-ANDZOA'!S23</f>
        <v>63587.033107130927</v>
      </c>
      <c r="J37" s="66"/>
      <c r="K37" s="66"/>
      <c r="L37" s="64"/>
      <c r="N37" s="574"/>
      <c r="O37" s="572"/>
      <c r="P37" s="351"/>
      <c r="Q37" s="351"/>
      <c r="R37" s="351"/>
      <c r="S37" s="20"/>
    </row>
    <row r="38" spans="2:19" ht="23" x14ac:dyDescent="0.3">
      <c r="B38" s="65"/>
      <c r="C38" s="350"/>
      <c r="D38" s="350"/>
      <c r="E38" s="1193"/>
      <c r="F38" s="1244"/>
      <c r="G38" s="1195" t="s">
        <v>924</v>
      </c>
      <c r="H38" s="361" t="s">
        <v>989</v>
      </c>
      <c r="I38" s="362">
        <f>'PTBA-ANDZOA'!S24</f>
        <v>0</v>
      </c>
      <c r="J38" s="66"/>
      <c r="K38" s="66"/>
      <c r="L38" s="64"/>
      <c r="N38" s="574"/>
      <c r="O38" s="572"/>
      <c r="P38" s="351"/>
      <c r="Q38" s="351"/>
      <c r="R38" s="351"/>
      <c r="S38" s="20"/>
    </row>
    <row r="39" spans="2:19" x14ac:dyDescent="0.3">
      <c r="B39" s="65"/>
      <c r="C39" s="350"/>
      <c r="D39" s="350"/>
      <c r="E39" s="1193"/>
      <c r="F39" s="1244"/>
      <c r="G39" s="1195"/>
      <c r="H39" s="361" t="s">
        <v>990</v>
      </c>
      <c r="I39" s="362">
        <f>'PTBA-ANDZOA'!S25</f>
        <v>66854.351013821448</v>
      </c>
      <c r="J39" s="66"/>
      <c r="K39" s="66"/>
      <c r="L39" s="64"/>
      <c r="N39" s="574"/>
      <c r="O39" s="572"/>
      <c r="P39" s="351"/>
      <c r="Q39" s="351"/>
      <c r="R39" s="351"/>
      <c r="S39" s="20"/>
    </row>
    <row r="40" spans="2:19" x14ac:dyDescent="0.3">
      <c r="B40" s="65"/>
      <c r="C40" s="350"/>
      <c r="D40" s="350"/>
      <c r="E40" s="1193"/>
      <c r="F40" s="1244"/>
      <c r="G40" s="1195" t="s">
        <v>927</v>
      </c>
      <c r="H40" s="361" t="s">
        <v>991</v>
      </c>
      <c r="I40" s="362">
        <f>'PTBA-ANDZOA'!S26</f>
        <v>103684.87898865581</v>
      </c>
      <c r="J40" s="66"/>
      <c r="K40" s="66"/>
      <c r="L40" s="64"/>
      <c r="N40" s="574"/>
      <c r="O40" s="572"/>
      <c r="P40" s="351"/>
      <c r="Q40" s="351"/>
      <c r="R40" s="351"/>
      <c r="S40" s="20"/>
    </row>
    <row r="41" spans="2:19" x14ac:dyDescent="0.3">
      <c r="B41" s="65"/>
      <c r="C41" s="350"/>
      <c r="D41" s="350"/>
      <c r="E41" s="1193"/>
      <c r="F41" s="1245"/>
      <c r="G41" s="1195"/>
      <c r="H41" s="361" t="s">
        <v>992</v>
      </c>
      <c r="I41" s="362">
        <f>'PTBA-ANDZOA'!S27</f>
        <v>155527.31848298371</v>
      </c>
      <c r="J41" s="66"/>
      <c r="K41" s="66"/>
      <c r="L41" s="64"/>
      <c r="N41" s="574"/>
      <c r="O41" s="572"/>
      <c r="P41" s="351"/>
      <c r="Q41" s="351"/>
      <c r="R41" s="351"/>
      <c r="S41" s="20"/>
    </row>
    <row r="42" spans="2:19" ht="18.75" customHeight="1" x14ac:dyDescent="0.3">
      <c r="B42" s="65"/>
      <c r="C42" s="350"/>
      <c r="D42" s="350"/>
      <c r="E42" s="1204" t="s">
        <v>868</v>
      </c>
      <c r="F42" s="1205"/>
      <c r="G42" s="1205"/>
      <c r="H42" s="1206"/>
      <c r="I42" s="352">
        <f>SUM(I33:I41)</f>
        <v>576356.6102776872</v>
      </c>
      <c r="J42" s="66"/>
      <c r="K42" s="66"/>
      <c r="L42" s="64"/>
      <c r="N42" s="574"/>
      <c r="O42" s="572"/>
      <c r="P42" s="351"/>
      <c r="Q42" s="351"/>
      <c r="R42" s="351"/>
      <c r="S42" s="20"/>
    </row>
    <row r="43" spans="2:19" x14ac:dyDescent="0.3">
      <c r="B43" s="65"/>
      <c r="C43" s="350"/>
      <c r="D43" s="350"/>
      <c r="E43" s="1193" t="s">
        <v>1026</v>
      </c>
      <c r="F43" s="1243" t="s">
        <v>862</v>
      </c>
      <c r="G43" s="1195" t="s">
        <v>932</v>
      </c>
      <c r="H43" s="363" t="s">
        <v>994</v>
      </c>
      <c r="I43" s="362">
        <f>'PTBA-ANDZOA'!S29</f>
        <v>0</v>
      </c>
      <c r="J43" s="66"/>
      <c r="K43" s="66"/>
      <c r="L43" s="64"/>
      <c r="N43" s="574"/>
      <c r="O43" s="572"/>
      <c r="P43" s="351"/>
      <c r="Q43" s="351"/>
      <c r="R43" s="351"/>
      <c r="S43" s="20"/>
    </row>
    <row r="44" spans="2:19" ht="23" x14ac:dyDescent="0.3">
      <c r="B44" s="65"/>
      <c r="C44" s="350"/>
      <c r="D44" s="350"/>
      <c r="E44" s="1193"/>
      <c r="F44" s="1244"/>
      <c r="G44" s="1195"/>
      <c r="H44" s="363" t="s">
        <v>995</v>
      </c>
      <c r="I44" s="362">
        <f>'PTBA-ANDZOA'!S30</f>
        <v>51842.439494327904</v>
      </c>
      <c r="J44" s="66"/>
      <c r="K44" s="66"/>
      <c r="L44" s="64"/>
      <c r="N44" s="574"/>
      <c r="O44" s="572"/>
      <c r="P44" s="351"/>
      <c r="Q44" s="351"/>
      <c r="R44" s="351"/>
      <c r="S44" s="20"/>
    </row>
    <row r="45" spans="2:19" ht="23" x14ac:dyDescent="0.3">
      <c r="B45" s="65"/>
      <c r="C45" s="350"/>
      <c r="D45" s="350"/>
      <c r="E45" s="1193"/>
      <c r="F45" s="1244"/>
      <c r="G45" s="1195"/>
      <c r="H45" s="363" t="s">
        <v>996</v>
      </c>
      <c r="I45" s="362">
        <f>'PTBA-ANDZOA'!S31</f>
        <v>0</v>
      </c>
      <c r="J45" s="66"/>
      <c r="K45" s="66"/>
      <c r="L45" s="64"/>
      <c r="N45" s="574"/>
      <c r="O45" s="572"/>
      <c r="P45" s="351"/>
      <c r="Q45" s="351"/>
      <c r="R45" s="351"/>
      <c r="S45" s="20"/>
    </row>
    <row r="46" spans="2:19" x14ac:dyDescent="0.3">
      <c r="B46" s="65"/>
      <c r="C46" s="350"/>
      <c r="D46" s="350"/>
      <c r="E46" s="1193"/>
      <c r="F46" s="1244"/>
      <c r="G46" s="1195" t="s">
        <v>935</v>
      </c>
      <c r="H46" s="363" t="s">
        <v>997</v>
      </c>
      <c r="I46" s="362">
        <f>'PTBA-ANDZOA'!S32</f>
        <v>12905.905731427561</v>
      </c>
      <c r="J46" s="66"/>
      <c r="K46" s="66"/>
      <c r="L46" s="64"/>
      <c r="N46" s="574"/>
      <c r="O46" s="572"/>
      <c r="P46" s="351"/>
      <c r="Q46" s="351"/>
      <c r="R46" s="351"/>
      <c r="S46" s="20"/>
    </row>
    <row r="47" spans="2:19" ht="23" x14ac:dyDescent="0.3">
      <c r="B47" s="65"/>
      <c r="C47" s="350"/>
      <c r="D47" s="350"/>
      <c r="E47" s="1193"/>
      <c r="F47" s="1244"/>
      <c r="G47" s="1195"/>
      <c r="H47" s="363" t="s">
        <v>998</v>
      </c>
      <c r="I47" s="362">
        <f>'PTBA-ANDZOA'!S33</f>
        <v>93947.956424685923</v>
      </c>
      <c r="J47" s="66"/>
      <c r="K47" s="66"/>
      <c r="L47" s="64"/>
      <c r="N47" s="574"/>
      <c r="O47" s="572"/>
      <c r="P47" s="351"/>
      <c r="Q47" s="351"/>
      <c r="R47" s="351"/>
      <c r="S47" s="20"/>
    </row>
    <row r="48" spans="2:19" ht="23" x14ac:dyDescent="0.3">
      <c r="B48" s="65"/>
      <c r="C48" s="350"/>
      <c r="D48" s="350"/>
      <c r="E48" s="1193"/>
      <c r="F48" s="1244"/>
      <c r="G48" s="1195"/>
      <c r="H48" s="363" t="s">
        <v>999</v>
      </c>
      <c r="I48" s="362">
        <f>'PTBA-ANDZOA'!S34</f>
        <v>20736.97579773116</v>
      </c>
      <c r="J48" s="66"/>
      <c r="K48" s="66"/>
      <c r="L48" s="64"/>
      <c r="N48" s="574"/>
      <c r="O48" s="572"/>
      <c r="P48" s="351"/>
      <c r="Q48" s="351"/>
      <c r="R48" s="351"/>
      <c r="S48" s="20"/>
    </row>
    <row r="49" spans="2:19" ht="23" x14ac:dyDescent="0.3">
      <c r="B49" s="65"/>
      <c r="C49" s="350"/>
      <c r="D49" s="350"/>
      <c r="E49" s="1193"/>
      <c r="F49" s="1244"/>
      <c r="G49" s="1195" t="s">
        <v>939</v>
      </c>
      <c r="H49" s="363" t="s">
        <v>1000</v>
      </c>
      <c r="I49" s="362">
        <f>'PTBA-ANDZOA'!S35</f>
        <v>0</v>
      </c>
      <c r="J49" s="66"/>
      <c r="K49" s="66"/>
      <c r="L49" s="64"/>
      <c r="N49" s="574"/>
      <c r="O49" s="572"/>
      <c r="P49" s="351"/>
      <c r="Q49" s="351"/>
      <c r="R49" s="351"/>
      <c r="S49" s="20"/>
    </row>
    <row r="50" spans="2:19" x14ac:dyDescent="0.3">
      <c r="B50" s="65"/>
      <c r="C50" s="350"/>
      <c r="D50" s="350"/>
      <c r="E50" s="1193"/>
      <c r="F50" s="1244"/>
      <c r="G50" s="1195"/>
      <c r="H50" s="363" t="s">
        <v>1001</v>
      </c>
      <c r="I50" s="362">
        <f>'PTBA-ANDZOA'!S36</f>
        <v>0</v>
      </c>
      <c r="J50" s="66"/>
      <c r="K50" s="66"/>
      <c r="L50" s="64"/>
      <c r="N50" s="574"/>
      <c r="O50" s="572"/>
      <c r="P50" s="351"/>
      <c r="Q50" s="351"/>
      <c r="R50" s="351"/>
      <c r="S50" s="20"/>
    </row>
    <row r="51" spans="2:19" ht="23" x14ac:dyDescent="0.3">
      <c r="B51" s="65"/>
      <c r="C51" s="350"/>
      <c r="D51" s="350"/>
      <c r="E51" s="1193"/>
      <c r="F51" s="1244"/>
      <c r="G51" s="1195" t="s">
        <v>942</v>
      </c>
      <c r="H51" s="363" t="s">
        <v>1002</v>
      </c>
      <c r="I51" s="362">
        <f>'PTBA-ANDZOA'!S37</f>
        <v>0</v>
      </c>
      <c r="J51" s="66"/>
      <c r="K51" s="66"/>
      <c r="L51" s="64"/>
      <c r="N51" s="574"/>
      <c r="O51" s="572"/>
      <c r="P51" s="351"/>
      <c r="Q51" s="351"/>
      <c r="R51" s="351"/>
      <c r="S51" s="20"/>
    </row>
    <row r="52" spans="2:19" x14ac:dyDescent="0.3">
      <c r="B52" s="65"/>
      <c r="C52" s="350"/>
      <c r="D52" s="350"/>
      <c r="E52" s="1193"/>
      <c r="F52" s="1245"/>
      <c r="G52" s="1195"/>
      <c r="H52" s="363" t="s">
        <v>1003</v>
      </c>
      <c r="I52" s="362">
        <f>'PTBA-ANDZOA'!S38</f>
        <v>0</v>
      </c>
      <c r="J52" s="66"/>
      <c r="K52" s="66"/>
      <c r="L52" s="64"/>
      <c r="N52" s="574"/>
      <c r="O52" s="572"/>
      <c r="P52" s="351"/>
      <c r="Q52" s="351"/>
      <c r="R52" s="351"/>
      <c r="S52" s="20"/>
    </row>
    <row r="53" spans="2:19" ht="18.75" customHeight="1" x14ac:dyDescent="0.3">
      <c r="B53" s="65"/>
      <c r="C53" s="350"/>
      <c r="D53" s="350"/>
      <c r="E53" s="1204" t="s">
        <v>867</v>
      </c>
      <c r="F53" s="1205"/>
      <c r="G53" s="1205"/>
      <c r="H53" s="1206"/>
      <c r="I53" s="352">
        <f>SUM(I43:I52)</f>
        <v>179433.27744817256</v>
      </c>
      <c r="J53" s="66"/>
      <c r="K53" s="66"/>
      <c r="L53" s="64"/>
      <c r="N53" s="574"/>
      <c r="O53" s="572"/>
      <c r="P53" s="351"/>
      <c r="Q53" s="351"/>
      <c r="R53" s="351"/>
      <c r="S53" s="20"/>
    </row>
    <row r="54" spans="2:19" x14ac:dyDescent="0.3">
      <c r="B54" s="65"/>
      <c r="C54" s="350"/>
      <c r="D54" s="350"/>
      <c r="E54" s="1212" t="s">
        <v>1023</v>
      </c>
      <c r="F54" s="1243" t="s">
        <v>863</v>
      </c>
      <c r="G54" s="1217" t="s">
        <v>947</v>
      </c>
      <c r="H54" s="363" t="s">
        <v>1004</v>
      </c>
      <c r="I54" s="568">
        <f>'PTBA-ANDZOA'!S44</f>
        <v>42098.134566974033</v>
      </c>
      <c r="J54" s="66"/>
      <c r="K54" s="66"/>
      <c r="L54" s="64"/>
      <c r="N54" s="574"/>
      <c r="O54" s="572"/>
      <c r="P54" s="351"/>
      <c r="Q54" s="351"/>
      <c r="R54" s="351"/>
      <c r="S54" s="20"/>
    </row>
    <row r="55" spans="2:19" ht="23" x14ac:dyDescent="0.3">
      <c r="B55" s="65"/>
      <c r="C55" s="350"/>
      <c r="D55" s="350"/>
      <c r="E55" s="1213"/>
      <c r="F55" s="1246"/>
      <c r="G55" s="1211"/>
      <c r="H55" s="363" t="s">
        <v>1012</v>
      </c>
      <c r="I55" s="568">
        <f>'PTBA-ANDZOA'!S45</f>
        <v>0</v>
      </c>
      <c r="J55" s="66"/>
      <c r="K55" s="66"/>
      <c r="L55" s="64"/>
      <c r="N55" s="574"/>
      <c r="O55" s="572"/>
      <c r="P55" s="351"/>
      <c r="Q55" s="351"/>
      <c r="R55" s="351"/>
      <c r="S55" s="20"/>
    </row>
    <row r="56" spans="2:19" x14ac:dyDescent="0.3">
      <c r="B56" s="65"/>
      <c r="C56" s="350"/>
      <c r="D56" s="350"/>
      <c r="E56" s="1213"/>
      <c r="F56" s="1246"/>
      <c r="G56" s="1217" t="s">
        <v>950</v>
      </c>
      <c r="H56" s="363" t="s">
        <v>1005</v>
      </c>
      <c r="I56" s="568">
        <f>'PTBA-ANDZOA'!S46</f>
        <v>22619.893200165152</v>
      </c>
      <c r="J56" s="66"/>
      <c r="K56" s="66"/>
      <c r="L56" s="64"/>
      <c r="N56" s="574"/>
      <c r="O56" s="572"/>
      <c r="P56" s="351"/>
      <c r="Q56" s="351"/>
      <c r="R56" s="351"/>
      <c r="S56" s="20"/>
    </row>
    <row r="57" spans="2:19" ht="23" x14ac:dyDescent="0.3">
      <c r="B57" s="65"/>
      <c r="C57" s="350"/>
      <c r="D57" s="350"/>
      <c r="E57" s="1213"/>
      <c r="F57" s="1246"/>
      <c r="G57" s="1211"/>
      <c r="H57" s="363" t="s">
        <v>1006</v>
      </c>
      <c r="I57" s="568">
        <f>'PTBA-ANDZOA'!S47</f>
        <v>16608.250015513418</v>
      </c>
      <c r="J57" s="66"/>
      <c r="K57" s="66"/>
      <c r="L57" s="64"/>
      <c r="N57" s="574"/>
      <c r="O57" s="572"/>
      <c r="P57" s="351"/>
      <c r="Q57" s="351"/>
      <c r="R57" s="351"/>
      <c r="S57" s="20"/>
    </row>
    <row r="58" spans="2:19" x14ac:dyDescent="0.3">
      <c r="B58" s="65"/>
      <c r="C58" s="350"/>
      <c r="D58" s="350"/>
      <c r="E58" s="1213"/>
      <c r="F58" s="1246"/>
      <c r="G58" s="1217" t="s">
        <v>1013</v>
      </c>
      <c r="H58" s="363" t="s">
        <v>1007</v>
      </c>
      <c r="I58" s="568">
        <f>'PTBA-ANDZOA'!S48</f>
        <v>41469.80420030278</v>
      </c>
      <c r="J58" s="66"/>
      <c r="K58" s="66"/>
      <c r="L58" s="64"/>
      <c r="N58" s="574"/>
      <c r="O58" s="572"/>
      <c r="P58" s="351"/>
      <c r="Q58" s="351"/>
      <c r="R58" s="351"/>
      <c r="S58" s="20"/>
    </row>
    <row r="59" spans="2:19" x14ac:dyDescent="0.3">
      <c r="B59" s="65"/>
      <c r="C59" s="350"/>
      <c r="D59" s="350"/>
      <c r="E59" s="1213"/>
      <c r="F59" s="1246"/>
      <c r="G59" s="1210"/>
      <c r="H59" s="363" t="s">
        <v>1008</v>
      </c>
      <c r="I59" s="568">
        <f>'PTBA-ANDZOA'!S49</f>
        <v>0</v>
      </c>
      <c r="J59" s="66"/>
      <c r="K59" s="66"/>
      <c r="L59" s="64"/>
      <c r="N59" s="574"/>
      <c r="O59" s="572"/>
      <c r="P59" s="351"/>
      <c r="Q59" s="351"/>
      <c r="R59" s="351"/>
      <c r="S59" s="20"/>
    </row>
    <row r="60" spans="2:19" x14ac:dyDescent="0.3">
      <c r="B60" s="65"/>
      <c r="C60" s="350"/>
      <c r="D60" s="350"/>
      <c r="E60" s="1213"/>
      <c r="F60" s="1246"/>
      <c r="G60" s="1211"/>
      <c r="H60" s="363" t="s">
        <v>1009</v>
      </c>
      <c r="I60" s="568">
        <f>'PTBA-ANDZOA'!S50</f>
        <v>0</v>
      </c>
      <c r="J60" s="66"/>
      <c r="K60" s="66"/>
      <c r="L60" s="64"/>
      <c r="N60" s="574"/>
      <c r="O60" s="572"/>
      <c r="P60" s="351"/>
      <c r="Q60" s="351"/>
      <c r="R60" s="351"/>
      <c r="S60" s="20"/>
    </row>
    <row r="61" spans="2:19" x14ac:dyDescent="0.3">
      <c r="B61" s="65"/>
      <c r="C61" s="350"/>
      <c r="D61" s="350"/>
      <c r="E61" s="1213"/>
      <c r="F61" s="1246"/>
      <c r="G61" s="1217" t="s">
        <v>957</v>
      </c>
      <c r="H61" s="363" t="s">
        <v>1010</v>
      </c>
      <c r="I61" s="568">
        <f>'PTBA-ANDZOA'!S51</f>
        <v>0</v>
      </c>
      <c r="J61" s="66"/>
      <c r="K61" s="66"/>
      <c r="L61" s="64"/>
      <c r="N61" s="574"/>
      <c r="O61" s="572"/>
      <c r="P61" s="351"/>
      <c r="Q61" s="351"/>
      <c r="R61" s="351"/>
      <c r="S61" s="20"/>
    </row>
    <row r="62" spans="2:19" x14ac:dyDescent="0.3">
      <c r="B62" s="65"/>
      <c r="C62" s="350"/>
      <c r="D62" s="350"/>
      <c r="E62" s="1214"/>
      <c r="F62" s="1247"/>
      <c r="G62" s="1211"/>
      <c r="H62" s="363" t="s">
        <v>1011</v>
      </c>
      <c r="I62" s="568">
        <f>'PTBA-ANDZOA'!S52</f>
        <v>28852.930437543993</v>
      </c>
      <c r="J62" s="66"/>
      <c r="K62" s="66"/>
      <c r="L62" s="64"/>
      <c r="N62" s="574"/>
      <c r="O62" s="572"/>
      <c r="P62" s="351"/>
      <c r="Q62" s="351"/>
      <c r="R62" s="351"/>
      <c r="S62" s="20"/>
    </row>
    <row r="63" spans="2:19" ht="18.75" customHeight="1" x14ac:dyDescent="0.3">
      <c r="B63" s="65"/>
      <c r="C63" s="350"/>
      <c r="D63" s="350"/>
      <c r="E63" s="1204" t="s">
        <v>869</v>
      </c>
      <c r="F63" s="1205"/>
      <c r="G63" s="1205"/>
      <c r="H63" s="1206"/>
      <c r="I63" s="352">
        <f>SUM(I54:I62)</f>
        <v>151649.01242049938</v>
      </c>
      <c r="J63" s="66"/>
      <c r="K63" s="66"/>
      <c r="L63" s="64"/>
      <c r="N63" s="574"/>
      <c r="O63" s="572"/>
      <c r="P63" s="351"/>
      <c r="Q63" s="351"/>
      <c r="R63" s="351"/>
      <c r="S63" s="20"/>
    </row>
    <row r="64" spans="2:19" ht="18.75" customHeight="1" x14ac:dyDescent="0.3">
      <c r="B64" s="65"/>
      <c r="C64" s="350"/>
      <c r="D64" s="350"/>
      <c r="E64" s="1193" t="s">
        <v>1022</v>
      </c>
      <c r="F64" s="1243" t="s">
        <v>864</v>
      </c>
      <c r="G64" s="1210" t="s">
        <v>962</v>
      </c>
      <c r="H64" s="363" t="s">
        <v>1014</v>
      </c>
      <c r="I64" s="575">
        <f>'PTBA-ANDZOA'!S54</f>
        <v>21037.116686316993</v>
      </c>
      <c r="J64" s="66"/>
      <c r="K64" s="66"/>
      <c r="L64" s="64"/>
      <c r="N64" s="574"/>
      <c r="P64" s="351"/>
      <c r="Q64" s="351"/>
      <c r="R64" s="351"/>
      <c r="S64" s="20"/>
    </row>
    <row r="65" spans="2:19" ht="18.75" customHeight="1" x14ac:dyDescent="0.3">
      <c r="B65" s="65"/>
      <c r="C65" s="350"/>
      <c r="D65" s="350"/>
      <c r="E65" s="1193"/>
      <c r="F65" s="1244"/>
      <c r="G65" s="1211"/>
      <c r="H65" s="363" t="s">
        <v>1016</v>
      </c>
      <c r="I65" s="575">
        <f>'PTBA-ANDZOA'!S55</f>
        <v>0</v>
      </c>
      <c r="J65" s="66"/>
      <c r="K65" s="66"/>
      <c r="L65" s="64"/>
      <c r="N65" s="574"/>
      <c r="P65" s="351"/>
      <c r="Q65" s="351"/>
      <c r="R65" s="351"/>
      <c r="S65" s="20"/>
    </row>
    <row r="66" spans="2:19" ht="18.75" customHeight="1" x14ac:dyDescent="0.3">
      <c r="B66" s="65"/>
      <c r="C66" s="350"/>
      <c r="D66" s="350"/>
      <c r="E66" s="1193"/>
      <c r="F66" s="1244"/>
      <c r="G66" s="1195" t="s">
        <v>965</v>
      </c>
      <c r="H66" s="363" t="s">
        <v>1017</v>
      </c>
      <c r="I66" s="575">
        <f>'PTBA-ANDZOA'!S56</f>
        <v>0</v>
      </c>
      <c r="J66" s="66"/>
      <c r="K66" s="66"/>
      <c r="L66" s="64"/>
      <c r="N66" s="574"/>
      <c r="P66" s="351"/>
      <c r="Q66" s="351"/>
      <c r="R66" s="351"/>
      <c r="S66" s="20"/>
    </row>
    <row r="67" spans="2:19" ht="18.75" customHeight="1" x14ac:dyDescent="0.3">
      <c r="B67" s="65"/>
      <c r="C67" s="350"/>
      <c r="D67" s="350"/>
      <c r="E67" s="1193"/>
      <c r="F67" s="1244"/>
      <c r="G67" s="1195"/>
      <c r="H67" s="363" t="s">
        <v>1015</v>
      </c>
      <c r="I67" s="575">
        <f>'PTBA-ANDZOA'!S57</f>
        <v>23562.388750172031</v>
      </c>
      <c r="J67" s="66"/>
      <c r="K67" s="66"/>
      <c r="L67" s="64"/>
      <c r="N67" s="574"/>
      <c r="P67" s="351"/>
      <c r="Q67" s="351"/>
      <c r="R67" s="351"/>
      <c r="S67" s="20"/>
    </row>
    <row r="68" spans="2:19" ht="18.75" customHeight="1" x14ac:dyDescent="0.3">
      <c r="B68" s="65"/>
      <c r="C68" s="350"/>
      <c r="D68" s="350"/>
      <c r="E68" s="1193"/>
      <c r="F68" s="1244"/>
      <c r="G68" s="1195" t="s">
        <v>969</v>
      </c>
      <c r="H68" s="363" t="s">
        <v>1018</v>
      </c>
      <c r="I68" s="575">
        <f>'PTBA-ANDZOA'!S58</f>
        <v>0</v>
      </c>
      <c r="J68" s="66"/>
      <c r="K68" s="66"/>
      <c r="L68" s="64"/>
      <c r="N68" s="574"/>
      <c r="P68" s="351"/>
      <c r="Q68" s="351"/>
      <c r="R68" s="351"/>
      <c r="S68" s="20"/>
    </row>
    <row r="69" spans="2:19" ht="18.75" customHeight="1" x14ac:dyDescent="0.3">
      <c r="B69" s="65"/>
      <c r="C69" s="350"/>
      <c r="D69" s="350"/>
      <c r="E69" s="1193"/>
      <c r="F69" s="1244"/>
      <c r="G69" s="1195"/>
      <c r="H69" s="363" t="s">
        <v>1019</v>
      </c>
      <c r="I69" s="575">
        <f>'PTBA-ANDZOA'!S59</f>
        <v>0</v>
      </c>
      <c r="J69" s="66"/>
      <c r="K69" s="66"/>
      <c r="L69" s="64"/>
      <c r="N69" s="574"/>
      <c r="P69" s="351"/>
      <c r="Q69" s="351"/>
      <c r="R69" s="351"/>
      <c r="S69" s="20"/>
    </row>
    <row r="70" spans="2:19" ht="23" x14ac:dyDescent="0.3">
      <c r="B70" s="65"/>
      <c r="C70" s="44"/>
      <c r="D70" s="44"/>
      <c r="E70" s="1193"/>
      <c r="F70" s="1244"/>
      <c r="G70" s="1195" t="s">
        <v>972</v>
      </c>
      <c r="H70" s="363" t="s">
        <v>1020</v>
      </c>
      <c r="I70" s="575">
        <f>'PTBA-ANDZOA'!S60</f>
        <v>0</v>
      </c>
      <c r="J70" s="66"/>
      <c r="K70" s="66"/>
      <c r="L70" s="64"/>
      <c r="N70" s="574"/>
      <c r="P70" s="22"/>
      <c r="Q70" s="22"/>
      <c r="R70" s="22"/>
      <c r="S70" s="20"/>
    </row>
    <row r="71" spans="2:19" ht="23" x14ac:dyDescent="0.3">
      <c r="B71" s="65"/>
      <c r="C71" s="44"/>
      <c r="D71" s="44"/>
      <c r="E71" s="1193"/>
      <c r="F71" s="1245"/>
      <c r="G71" s="1195"/>
      <c r="H71" s="363" t="s">
        <v>1021</v>
      </c>
      <c r="I71" s="575">
        <f>'PTBA-ANDZOA'!S61</f>
        <v>0</v>
      </c>
      <c r="J71" s="66"/>
      <c r="K71" s="66"/>
      <c r="L71" s="64"/>
      <c r="N71" s="574"/>
      <c r="P71" s="22"/>
      <c r="Q71" s="22"/>
      <c r="R71" s="22"/>
      <c r="S71" s="20"/>
    </row>
    <row r="72" spans="2:19" ht="14.5" thickBot="1" x14ac:dyDescent="0.35">
      <c r="B72" s="65"/>
      <c r="C72" s="44"/>
      <c r="D72" s="44"/>
      <c r="E72" s="1204" t="s">
        <v>870</v>
      </c>
      <c r="F72" s="1205"/>
      <c r="G72" s="1205"/>
      <c r="H72" s="1206"/>
      <c r="I72" s="352">
        <f>SUM(I64:I71)</f>
        <v>44599.505436489024</v>
      </c>
      <c r="J72" s="66"/>
      <c r="K72" s="66"/>
      <c r="L72" s="64"/>
      <c r="O72" s="19"/>
      <c r="P72" s="22"/>
      <c r="Q72" s="22"/>
      <c r="R72" s="22"/>
      <c r="S72" s="20"/>
    </row>
    <row r="73" spans="2:19" ht="14.5" thickBot="1" x14ac:dyDescent="0.35">
      <c r="B73" s="65"/>
      <c r="C73" s="44"/>
      <c r="D73" s="44"/>
      <c r="E73" s="135" t="s">
        <v>276</v>
      </c>
      <c r="F73" s="359"/>
      <c r="G73" s="359"/>
      <c r="H73" s="359"/>
      <c r="I73" s="364">
        <f>I72+I63+I53+I42+I32</f>
        <v>3524045.5137754446</v>
      </c>
      <c r="J73" s="66"/>
      <c r="K73" s="66"/>
      <c r="L73" s="64"/>
      <c r="O73" s="19"/>
      <c r="P73" s="22"/>
      <c r="Q73" s="22"/>
      <c r="R73" s="22"/>
      <c r="S73" s="20"/>
    </row>
    <row r="74" spans="2:19" x14ac:dyDescent="0.3">
      <c r="B74" s="65"/>
      <c r="C74" s="44"/>
      <c r="D74" s="44"/>
      <c r="E74" s="66"/>
      <c r="F74" s="66"/>
      <c r="G74" s="66"/>
      <c r="H74" s="66"/>
      <c r="I74" s="66"/>
      <c r="J74" s="66"/>
      <c r="K74" s="66"/>
      <c r="L74" s="64"/>
      <c r="O74" s="19"/>
      <c r="P74" s="20"/>
      <c r="Q74" s="20"/>
      <c r="R74" s="20"/>
      <c r="S74" s="20"/>
    </row>
    <row r="75" spans="2:19" ht="34.5" customHeight="1" x14ac:dyDescent="0.3">
      <c r="B75" s="65"/>
      <c r="C75" s="1171" t="s">
        <v>280</v>
      </c>
      <c r="D75" s="1171"/>
      <c r="E75" s="66"/>
      <c r="F75" s="66"/>
      <c r="G75" s="66"/>
      <c r="H75" s="66"/>
      <c r="I75" s="723"/>
      <c r="J75" s="66"/>
      <c r="K75" s="66"/>
      <c r="L75" s="64"/>
      <c r="O75" s="19"/>
      <c r="P75" s="20"/>
      <c r="Q75" s="20"/>
      <c r="R75" s="20"/>
      <c r="S75" s="20"/>
    </row>
    <row r="76" spans="2:19" ht="57.75" customHeight="1" x14ac:dyDescent="0.3">
      <c r="B76" s="65"/>
      <c r="C76" s="1171" t="s">
        <v>1179</v>
      </c>
      <c r="D76" s="1171"/>
      <c r="E76" s="360" t="s">
        <v>1027</v>
      </c>
      <c r="F76" s="360" t="s">
        <v>859</v>
      </c>
      <c r="G76" s="360" t="s">
        <v>1024</v>
      </c>
      <c r="H76" s="360" t="s">
        <v>865</v>
      </c>
      <c r="I76" s="360" t="s">
        <v>1204</v>
      </c>
      <c r="J76" s="632" t="s">
        <v>1205</v>
      </c>
      <c r="K76" s="360" t="s">
        <v>244</v>
      </c>
      <c r="L76" s="64"/>
      <c r="O76" s="19"/>
    </row>
    <row r="77" spans="2:19" ht="23" x14ac:dyDescent="0.3">
      <c r="B77" s="65"/>
      <c r="C77" s="350"/>
      <c r="D77" s="350"/>
      <c r="E77" s="1193" t="s">
        <v>983</v>
      </c>
      <c r="F77" s="1241" t="s">
        <v>860</v>
      </c>
      <c r="G77" s="1195" t="s">
        <v>982</v>
      </c>
      <c r="H77" s="361" t="s">
        <v>1028</v>
      </c>
      <c r="I77" s="568">
        <f>'PTBA-ANDZOA'!V4</f>
        <v>0</v>
      </c>
      <c r="J77" s="633"/>
      <c r="K77" s="702"/>
      <c r="L77" s="64"/>
      <c r="O77" s="19"/>
    </row>
    <row r="78" spans="2:19" x14ac:dyDescent="0.3">
      <c r="B78" s="65"/>
      <c r="C78" s="350"/>
      <c r="D78" s="350"/>
      <c r="E78" s="1193"/>
      <c r="F78" s="1241"/>
      <c r="G78" s="1195"/>
      <c r="H78" s="361" t="s">
        <v>1029</v>
      </c>
      <c r="I78" s="568">
        <f>'PTBA-ANDZOA'!V5</f>
        <v>0</v>
      </c>
      <c r="J78" s="634"/>
      <c r="K78" s="702"/>
      <c r="L78" s="64"/>
      <c r="O78" s="19"/>
    </row>
    <row r="79" spans="2:19" x14ac:dyDescent="0.3">
      <c r="B79" s="65"/>
      <c r="C79" s="350"/>
      <c r="D79" s="350"/>
      <c r="E79" s="1193"/>
      <c r="F79" s="1241"/>
      <c r="G79" s="1195"/>
      <c r="H79" s="361" t="s">
        <v>1030</v>
      </c>
      <c r="I79" s="568">
        <f>'PTBA-ANDZOA'!V6</f>
        <v>0</v>
      </c>
      <c r="J79" s="634"/>
      <c r="K79" s="702"/>
      <c r="L79" s="64"/>
      <c r="O79" s="19"/>
    </row>
    <row r="80" spans="2:19" x14ac:dyDescent="0.3">
      <c r="B80" s="65"/>
      <c r="C80" s="350"/>
      <c r="D80" s="350"/>
      <c r="E80" s="1193"/>
      <c r="F80" s="1241"/>
      <c r="G80" s="1195"/>
      <c r="H80" s="361" t="s">
        <v>975</v>
      </c>
      <c r="I80" s="568">
        <f>'PTBA-ANDZOA'!V7</f>
        <v>0</v>
      </c>
      <c r="J80" s="633"/>
      <c r="K80" s="702"/>
      <c r="L80" s="64"/>
      <c r="O80" s="19"/>
    </row>
    <row r="81" spans="2:15" ht="23" x14ac:dyDescent="0.3">
      <c r="B81" s="65"/>
      <c r="C81" s="350"/>
      <c r="D81" s="350"/>
      <c r="E81" s="1193"/>
      <c r="F81" s="1241"/>
      <c r="G81" s="1195"/>
      <c r="H81" s="361" t="s">
        <v>976</v>
      </c>
      <c r="I81" s="568">
        <f>'PTBA-ANDZOA'!V8</f>
        <v>0</v>
      </c>
      <c r="J81" s="633"/>
      <c r="K81" s="702"/>
      <c r="L81" s="64"/>
      <c r="O81" s="19"/>
    </row>
    <row r="82" spans="2:15" ht="23" x14ac:dyDescent="0.3">
      <c r="B82" s="65"/>
      <c r="C82" s="350"/>
      <c r="D82" s="350"/>
      <c r="E82" s="1193"/>
      <c r="F82" s="1241"/>
      <c r="G82" s="1195" t="s">
        <v>903</v>
      </c>
      <c r="H82" s="361" t="s">
        <v>1031</v>
      </c>
      <c r="I82" s="568">
        <f>'PTBA-ANDZOA'!V9</f>
        <v>0</v>
      </c>
      <c r="J82" s="634"/>
      <c r="K82" s="702"/>
      <c r="L82" s="64"/>
      <c r="O82" s="19"/>
    </row>
    <row r="83" spans="2:15" x14ac:dyDescent="0.3">
      <c r="B83" s="65"/>
      <c r="C83" s="350"/>
      <c r="D83" s="350"/>
      <c r="E83" s="1193"/>
      <c r="F83" s="1241"/>
      <c r="G83" s="1195"/>
      <c r="H83" s="361" t="s">
        <v>977</v>
      </c>
      <c r="I83" s="568">
        <f>'PTBA-ANDZOA'!V10</f>
        <v>106173.31608438355</v>
      </c>
      <c r="J83" s="634" t="s">
        <v>1177</v>
      </c>
      <c r="K83" s="703">
        <v>43800</v>
      </c>
      <c r="L83" s="64"/>
      <c r="O83" s="19"/>
    </row>
    <row r="84" spans="2:15" ht="23" x14ac:dyDescent="0.3">
      <c r="B84" s="65"/>
      <c r="C84" s="350"/>
      <c r="D84" s="350"/>
      <c r="E84" s="1193"/>
      <c r="F84" s="1241"/>
      <c r="G84" s="1195"/>
      <c r="H84" s="361" t="s">
        <v>978</v>
      </c>
      <c r="I84" s="568">
        <f>'PTBA-ANDZOA'!V11</f>
        <v>0</v>
      </c>
      <c r="J84" s="633"/>
      <c r="K84" s="702"/>
      <c r="L84" s="64"/>
      <c r="O84" s="19"/>
    </row>
    <row r="85" spans="2:15" ht="23" x14ac:dyDescent="0.3">
      <c r="B85" s="65"/>
      <c r="C85" s="350"/>
      <c r="D85" s="350"/>
      <c r="E85" s="1193"/>
      <c r="F85" s="1241"/>
      <c r="G85" s="1195" t="s">
        <v>906</v>
      </c>
      <c r="H85" s="361" t="s">
        <v>1032</v>
      </c>
      <c r="I85" s="568">
        <f>'PTBA-ANDZOA'!V12</f>
        <v>0</v>
      </c>
      <c r="J85" s="634"/>
      <c r="K85" s="702"/>
      <c r="L85" s="64"/>
      <c r="O85" s="19"/>
    </row>
    <row r="86" spans="2:15" ht="23" x14ac:dyDescent="0.3">
      <c r="B86" s="65"/>
      <c r="C86" s="350"/>
      <c r="D86" s="350"/>
      <c r="E86" s="1193"/>
      <c r="F86" s="1241"/>
      <c r="G86" s="1195"/>
      <c r="H86" s="361" t="s">
        <v>1033</v>
      </c>
      <c r="I86" s="568">
        <f>'PTBA-ANDZOA'!V13</f>
        <v>0</v>
      </c>
      <c r="J86" s="634"/>
      <c r="K86" s="702"/>
      <c r="L86" s="64"/>
      <c r="O86" s="19"/>
    </row>
    <row r="87" spans="2:15" ht="23" x14ac:dyDescent="0.3">
      <c r="B87" s="65"/>
      <c r="C87" s="350"/>
      <c r="D87" s="350"/>
      <c r="E87" s="1193"/>
      <c r="F87" s="1241"/>
      <c r="G87" s="1195" t="s">
        <v>910</v>
      </c>
      <c r="H87" s="361" t="s">
        <v>979</v>
      </c>
      <c r="I87" s="568">
        <f>'PTBA-ANDZOA'!V14</f>
        <v>0</v>
      </c>
      <c r="J87" s="633"/>
      <c r="K87" s="702"/>
      <c r="L87" s="64"/>
      <c r="O87" s="19"/>
    </row>
    <row r="88" spans="2:15" x14ac:dyDescent="0.3">
      <c r="B88" s="65"/>
      <c r="C88" s="350"/>
      <c r="D88" s="350"/>
      <c r="E88" s="1193"/>
      <c r="F88" s="1241"/>
      <c r="G88" s="1195"/>
      <c r="H88" s="361" t="s">
        <v>1034</v>
      </c>
      <c r="I88" s="568">
        <f>'PTBA-ANDZOA'!V15</f>
        <v>0</v>
      </c>
      <c r="J88" s="634"/>
      <c r="K88" s="702"/>
      <c r="L88" s="64"/>
      <c r="O88" s="19"/>
    </row>
    <row r="89" spans="2:15" ht="23" x14ac:dyDescent="0.3">
      <c r="B89" s="65"/>
      <c r="C89" s="350"/>
      <c r="D89" s="350"/>
      <c r="E89" s="1193"/>
      <c r="F89" s="1241"/>
      <c r="G89" s="1195" t="s">
        <v>913</v>
      </c>
      <c r="H89" s="361" t="s">
        <v>980</v>
      </c>
      <c r="I89" s="568">
        <f>'PTBA-ANDZOA'!V16</f>
        <v>0</v>
      </c>
      <c r="J89" s="633"/>
      <c r="K89" s="702"/>
      <c r="L89" s="64"/>
      <c r="O89" s="19"/>
    </row>
    <row r="90" spans="2:15" ht="23" x14ac:dyDescent="0.3">
      <c r="B90" s="65"/>
      <c r="C90" s="350"/>
      <c r="D90" s="350"/>
      <c r="E90" s="1193"/>
      <c r="F90" s="1241"/>
      <c r="G90" s="1195"/>
      <c r="H90" s="361" t="s">
        <v>981</v>
      </c>
      <c r="I90" s="568">
        <f>'PTBA-ANDZOA'!V17</f>
        <v>0</v>
      </c>
      <c r="J90" s="634"/>
      <c r="K90" s="702"/>
      <c r="L90" s="64"/>
      <c r="O90" s="19"/>
    </row>
    <row r="91" spans="2:15" x14ac:dyDescent="0.3">
      <c r="B91" s="65"/>
      <c r="C91" s="350"/>
      <c r="D91" s="350"/>
      <c r="E91" s="1178" t="s">
        <v>866</v>
      </c>
      <c r="F91" s="1178"/>
      <c r="G91" s="1178"/>
      <c r="H91" s="1178"/>
      <c r="I91" s="352">
        <f>SUM(I77:I90)</f>
        <v>106173.31608438355</v>
      </c>
      <c r="J91" s="633"/>
      <c r="K91" s="702"/>
      <c r="L91" s="64"/>
      <c r="O91" s="19"/>
    </row>
    <row r="92" spans="2:15" ht="23" x14ac:dyDescent="0.3">
      <c r="B92" s="65"/>
      <c r="C92" s="350"/>
      <c r="D92" s="350"/>
      <c r="E92" s="1193" t="s">
        <v>1025</v>
      </c>
      <c r="F92" s="1241" t="s">
        <v>861</v>
      </c>
      <c r="G92" s="1195" t="s">
        <v>917</v>
      </c>
      <c r="H92" s="361" t="s">
        <v>984</v>
      </c>
      <c r="I92" s="568">
        <f>'PTBA-ANDZOA'!V19</f>
        <v>0</v>
      </c>
      <c r="J92" s="634"/>
      <c r="K92" s="702"/>
      <c r="L92" s="64"/>
      <c r="O92" s="19"/>
    </row>
    <row r="93" spans="2:15" ht="23" x14ac:dyDescent="0.3">
      <c r="B93" s="65"/>
      <c r="C93" s="350"/>
      <c r="D93" s="350"/>
      <c r="E93" s="1193"/>
      <c r="F93" s="1241"/>
      <c r="G93" s="1195"/>
      <c r="H93" s="361" t="s">
        <v>985</v>
      </c>
      <c r="I93" s="568">
        <f>'PTBA-ANDZOA'!V20</f>
        <v>0</v>
      </c>
      <c r="J93" s="634" t="s">
        <v>1206</v>
      </c>
      <c r="K93" s="703">
        <v>43739</v>
      </c>
      <c r="L93" s="64"/>
      <c r="O93" s="19"/>
    </row>
    <row r="94" spans="2:15" x14ac:dyDescent="0.3">
      <c r="B94" s="65"/>
      <c r="C94" s="350"/>
      <c r="D94" s="350"/>
      <c r="E94" s="1193"/>
      <c r="F94" s="1241"/>
      <c r="G94" s="1195" t="s">
        <v>920</v>
      </c>
      <c r="H94" s="361" t="s">
        <v>986</v>
      </c>
      <c r="I94" s="568">
        <f>'PTBA-ANDZOA'!V21</f>
        <v>96219.567701472595</v>
      </c>
      <c r="J94" s="634" t="s">
        <v>1177</v>
      </c>
      <c r="K94" s="703">
        <v>43800</v>
      </c>
      <c r="L94" s="64"/>
      <c r="O94" s="19"/>
    </row>
    <row r="95" spans="2:15" x14ac:dyDescent="0.3">
      <c r="B95" s="65"/>
      <c r="C95" s="350"/>
      <c r="D95" s="350"/>
      <c r="E95" s="1193"/>
      <c r="F95" s="1241"/>
      <c r="G95" s="1195"/>
      <c r="H95" s="361" t="s">
        <v>987</v>
      </c>
      <c r="I95" s="568">
        <f>'PTBA-ANDZOA'!V22</f>
        <v>97328.995906651209</v>
      </c>
      <c r="J95" s="634" t="s">
        <v>1209</v>
      </c>
      <c r="K95" s="703">
        <v>43556</v>
      </c>
      <c r="L95" s="64"/>
      <c r="O95" s="19"/>
    </row>
    <row r="96" spans="2:15" x14ac:dyDescent="0.3">
      <c r="B96" s="65"/>
      <c r="C96" s="350"/>
      <c r="D96" s="350"/>
      <c r="E96" s="1193"/>
      <c r="F96" s="1241"/>
      <c r="G96" s="1195"/>
      <c r="H96" s="361" t="s">
        <v>988</v>
      </c>
      <c r="I96" s="568">
        <f>'PTBA-ANDZOA'!V23</f>
        <v>0</v>
      </c>
      <c r="J96" s="634"/>
      <c r="K96" s="702"/>
      <c r="L96" s="64"/>
      <c r="O96" s="19"/>
    </row>
    <row r="97" spans="2:15" ht="23" x14ac:dyDescent="0.3">
      <c r="B97" s="65"/>
      <c r="C97" s="350"/>
      <c r="D97" s="350"/>
      <c r="E97" s="1193"/>
      <c r="F97" s="1241"/>
      <c r="G97" s="1195" t="s">
        <v>924</v>
      </c>
      <c r="H97" s="361" t="s">
        <v>989</v>
      </c>
      <c r="I97" s="568">
        <f>'PTBA-ANDZOA'!V24</f>
        <v>0</v>
      </c>
      <c r="J97" s="634" t="s">
        <v>1207</v>
      </c>
      <c r="K97" s="703">
        <v>43586</v>
      </c>
      <c r="L97" s="64"/>
      <c r="O97" s="19"/>
    </row>
    <row r="98" spans="2:15" x14ac:dyDescent="0.3">
      <c r="B98" s="65"/>
      <c r="C98" s="350"/>
      <c r="D98" s="350"/>
      <c r="E98" s="1193"/>
      <c r="F98" s="1241"/>
      <c r="G98" s="1195"/>
      <c r="H98" s="361" t="s">
        <v>990</v>
      </c>
      <c r="I98" s="568">
        <f>'PTBA-ANDZOA'!V25</f>
        <v>0</v>
      </c>
      <c r="J98" s="634"/>
      <c r="K98" s="702"/>
      <c r="L98" s="64"/>
      <c r="O98" s="19"/>
    </row>
    <row r="99" spans="2:15" x14ac:dyDescent="0.3">
      <c r="B99" s="65"/>
      <c r="C99" s="350"/>
      <c r="D99" s="350"/>
      <c r="E99" s="1193"/>
      <c r="F99" s="1241"/>
      <c r="G99" s="1195" t="s">
        <v>927</v>
      </c>
      <c r="H99" s="361" t="s">
        <v>991</v>
      </c>
      <c r="I99" s="568">
        <f>'PTBA-ANDZOA'!V26</f>
        <v>400654.23619865131</v>
      </c>
      <c r="J99" s="634" t="s">
        <v>1177</v>
      </c>
      <c r="K99" s="703">
        <v>43800</v>
      </c>
      <c r="L99" s="64"/>
      <c r="O99" s="19"/>
    </row>
    <row r="100" spans="2:15" x14ac:dyDescent="0.3">
      <c r="B100" s="65"/>
      <c r="C100" s="350"/>
      <c r="D100" s="350"/>
      <c r="E100" s="1193"/>
      <c r="F100" s="1241"/>
      <c r="G100" s="1195"/>
      <c r="H100" s="361" t="s">
        <v>992</v>
      </c>
      <c r="I100" s="568">
        <f>'PTBA-ANDZOA'!V27</f>
        <v>0</v>
      </c>
      <c r="J100" s="634" t="s">
        <v>1206</v>
      </c>
      <c r="K100" s="703">
        <v>43739</v>
      </c>
      <c r="L100" s="64"/>
      <c r="O100" s="19"/>
    </row>
    <row r="101" spans="2:15" x14ac:dyDescent="0.3">
      <c r="B101" s="65"/>
      <c r="C101" s="350"/>
      <c r="D101" s="350"/>
      <c r="E101" s="1178" t="s">
        <v>868</v>
      </c>
      <c r="F101" s="1178"/>
      <c r="G101" s="1178"/>
      <c r="H101" s="1178"/>
      <c r="I101" s="352">
        <f>SUM(I92:I100)</f>
        <v>594202.79980677506</v>
      </c>
      <c r="J101" s="633"/>
      <c r="K101" s="703"/>
      <c r="L101" s="64"/>
      <c r="O101" s="19"/>
    </row>
    <row r="102" spans="2:15" x14ac:dyDescent="0.3">
      <c r="B102" s="65"/>
      <c r="C102" s="350"/>
      <c r="D102" s="350"/>
      <c r="E102" s="1193" t="s">
        <v>1026</v>
      </c>
      <c r="F102" s="1241" t="s">
        <v>862</v>
      </c>
      <c r="G102" s="1195" t="s">
        <v>932</v>
      </c>
      <c r="H102" s="363" t="s">
        <v>994</v>
      </c>
      <c r="I102" s="568">
        <f>'PTBA-ANDZOA'!V29</f>
        <v>0</v>
      </c>
      <c r="J102" s="633"/>
      <c r="K102" s="703"/>
      <c r="L102" s="64"/>
      <c r="O102" s="19"/>
    </row>
    <row r="103" spans="2:15" ht="23" x14ac:dyDescent="0.3">
      <c r="B103" s="65"/>
      <c r="C103" s="350"/>
      <c r="D103" s="350"/>
      <c r="E103" s="1193"/>
      <c r="F103" s="1241"/>
      <c r="G103" s="1195"/>
      <c r="H103" s="363" t="s">
        <v>995</v>
      </c>
      <c r="I103" s="568">
        <f>'PTBA-ANDZOA'!V30</f>
        <v>570266.83443760697</v>
      </c>
      <c r="J103" s="634" t="s">
        <v>1177</v>
      </c>
      <c r="K103" s="703">
        <v>43800</v>
      </c>
      <c r="L103" s="64"/>
      <c r="O103" s="19"/>
    </row>
    <row r="104" spans="2:15" ht="23" x14ac:dyDescent="0.3">
      <c r="B104" s="65"/>
      <c r="C104" s="350"/>
      <c r="D104" s="350"/>
      <c r="E104" s="1193"/>
      <c r="F104" s="1241"/>
      <c r="G104" s="1195"/>
      <c r="H104" s="363" t="s">
        <v>996</v>
      </c>
      <c r="I104" s="568">
        <f>'PTBA-ANDZOA'!V31</f>
        <v>0</v>
      </c>
      <c r="J104" s="633"/>
      <c r="K104" s="703"/>
      <c r="L104" s="64"/>
      <c r="O104" s="19"/>
    </row>
    <row r="105" spans="2:15" x14ac:dyDescent="0.3">
      <c r="B105" s="65"/>
      <c r="C105" s="350"/>
      <c r="D105" s="350"/>
      <c r="E105" s="1193"/>
      <c r="F105" s="1241"/>
      <c r="G105" s="1195" t="s">
        <v>935</v>
      </c>
      <c r="H105" s="363" t="s">
        <v>997</v>
      </c>
      <c r="I105" s="568">
        <f>'PTBA-ANDZOA'!V32</f>
        <v>0</v>
      </c>
      <c r="J105" s="634"/>
      <c r="K105" s="703"/>
      <c r="L105" s="64"/>
      <c r="O105" s="19"/>
    </row>
    <row r="106" spans="2:15" ht="23" x14ac:dyDescent="0.3">
      <c r="B106" s="65"/>
      <c r="C106" s="350"/>
      <c r="D106" s="350"/>
      <c r="E106" s="1193"/>
      <c r="F106" s="1241"/>
      <c r="G106" s="1195"/>
      <c r="H106" s="363" t="s">
        <v>998</v>
      </c>
      <c r="I106" s="568">
        <f>'PTBA-ANDZOA'!V33</f>
        <v>0</v>
      </c>
      <c r="J106" s="634"/>
      <c r="K106" s="703"/>
      <c r="L106" s="64"/>
      <c r="O106" s="19"/>
    </row>
    <row r="107" spans="2:15" ht="23" x14ac:dyDescent="0.3">
      <c r="B107" s="65"/>
      <c r="C107" s="350"/>
      <c r="D107" s="350"/>
      <c r="E107" s="1193"/>
      <c r="F107" s="1241"/>
      <c r="G107" s="1195"/>
      <c r="H107" s="363" t="s">
        <v>999</v>
      </c>
      <c r="I107" s="568">
        <f>'PTBA-ANDZOA'!V34</f>
        <v>111067.24237264811</v>
      </c>
      <c r="J107" s="634" t="s">
        <v>1177</v>
      </c>
      <c r="K107" s="703">
        <v>43800</v>
      </c>
      <c r="L107" s="64"/>
      <c r="O107" s="19"/>
    </row>
    <row r="108" spans="2:15" ht="23" x14ac:dyDescent="0.3">
      <c r="B108" s="65"/>
      <c r="C108" s="350"/>
      <c r="D108" s="350"/>
      <c r="E108" s="1193"/>
      <c r="F108" s="1241"/>
      <c r="G108" s="1195" t="s">
        <v>939</v>
      </c>
      <c r="H108" s="363" t="s">
        <v>1000</v>
      </c>
      <c r="I108" s="568">
        <f>'PTBA-ANDZOA'!V35</f>
        <v>0</v>
      </c>
      <c r="J108" s="633"/>
      <c r="K108" s="703"/>
      <c r="L108" s="64"/>
      <c r="O108" s="19"/>
    </row>
    <row r="109" spans="2:15" x14ac:dyDescent="0.3">
      <c r="B109" s="65"/>
      <c r="C109" s="350"/>
      <c r="D109" s="350"/>
      <c r="E109" s="1193"/>
      <c r="F109" s="1241"/>
      <c r="G109" s="1195"/>
      <c r="H109" s="363" t="s">
        <v>1001</v>
      </c>
      <c r="I109" s="568">
        <f>'PTBA-ANDZOA'!V36</f>
        <v>0</v>
      </c>
      <c r="J109" s="633"/>
      <c r="K109" s="703"/>
      <c r="L109" s="64"/>
      <c r="O109" s="19"/>
    </row>
    <row r="110" spans="2:15" ht="23" x14ac:dyDescent="0.3">
      <c r="B110" s="65"/>
      <c r="C110" s="350"/>
      <c r="D110" s="350"/>
      <c r="E110" s="1193"/>
      <c r="F110" s="1241"/>
      <c r="G110" s="1195" t="s">
        <v>942</v>
      </c>
      <c r="H110" s="363" t="s">
        <v>1002</v>
      </c>
      <c r="I110" s="568">
        <f>'PTBA-ANDZOA'!V37</f>
        <v>0</v>
      </c>
      <c r="J110" s="633"/>
      <c r="K110" s="703"/>
      <c r="L110" s="64"/>
      <c r="O110" s="19"/>
    </row>
    <row r="111" spans="2:15" x14ac:dyDescent="0.3">
      <c r="B111" s="65"/>
      <c r="C111" s="350"/>
      <c r="D111" s="350"/>
      <c r="E111" s="1193"/>
      <c r="F111" s="1241"/>
      <c r="G111" s="1195"/>
      <c r="H111" s="363" t="s">
        <v>1003</v>
      </c>
      <c r="I111" s="568">
        <f>'PTBA-ANDZOA'!V38</f>
        <v>0</v>
      </c>
      <c r="J111" s="633"/>
      <c r="K111" s="703"/>
      <c r="L111" s="64"/>
      <c r="O111" s="19"/>
    </row>
    <row r="112" spans="2:15" x14ac:dyDescent="0.3">
      <c r="B112" s="65"/>
      <c r="C112" s="350"/>
      <c r="D112" s="350"/>
      <c r="E112" s="1178" t="s">
        <v>867</v>
      </c>
      <c r="F112" s="1178"/>
      <c r="G112" s="1178"/>
      <c r="H112" s="1178"/>
      <c r="I112" s="352">
        <f>SUM(I102:I111)</f>
        <v>681334.07681025506</v>
      </c>
      <c r="J112" s="633"/>
      <c r="K112" s="703"/>
      <c r="L112" s="64"/>
      <c r="O112" s="19"/>
    </row>
    <row r="113" spans="2:15" x14ac:dyDescent="0.3">
      <c r="B113" s="65"/>
      <c r="C113" s="350"/>
      <c r="D113" s="350"/>
      <c r="E113" s="1193" t="s">
        <v>1023</v>
      </c>
      <c r="F113" s="1241" t="s">
        <v>863</v>
      </c>
      <c r="G113" s="1195" t="s">
        <v>947</v>
      </c>
      <c r="H113" s="363" t="s">
        <v>1004</v>
      </c>
      <c r="I113" s="568">
        <f>'PTBA-ANDZOA'!V44</f>
        <v>45932.401391974527</v>
      </c>
      <c r="J113" s="634" t="s">
        <v>1207</v>
      </c>
      <c r="K113" s="703"/>
      <c r="L113" s="64"/>
      <c r="O113" s="19"/>
    </row>
    <row r="114" spans="2:15" ht="23" x14ac:dyDescent="0.3">
      <c r="B114" s="65"/>
      <c r="C114" s="350"/>
      <c r="D114" s="350"/>
      <c r="E114" s="1193"/>
      <c r="F114" s="1242"/>
      <c r="G114" s="1195"/>
      <c r="H114" s="363" t="s">
        <v>1035</v>
      </c>
      <c r="I114" s="568">
        <f>'PTBA-ANDZOA'!V45</f>
        <v>0</v>
      </c>
      <c r="J114" s="633"/>
      <c r="K114" s="703"/>
      <c r="L114" s="64"/>
      <c r="O114" s="19"/>
    </row>
    <row r="115" spans="2:15" x14ac:dyDescent="0.3">
      <c r="B115" s="65"/>
      <c r="C115" s="350"/>
      <c r="D115" s="350"/>
      <c r="E115" s="1193"/>
      <c r="F115" s="1242"/>
      <c r="G115" s="1195" t="s">
        <v>950</v>
      </c>
      <c r="H115" s="363" t="s">
        <v>1005</v>
      </c>
      <c r="I115" s="568">
        <f>'PTBA-ANDZOA'!V46</f>
        <v>0</v>
      </c>
      <c r="J115" s="634"/>
      <c r="K115" s="703"/>
      <c r="L115" s="64"/>
      <c r="O115" s="19"/>
    </row>
    <row r="116" spans="2:15" ht="23" x14ac:dyDescent="0.3">
      <c r="B116" s="65"/>
      <c r="C116" s="350"/>
      <c r="D116" s="350"/>
      <c r="E116" s="1193"/>
      <c r="F116" s="1242"/>
      <c r="G116" s="1195"/>
      <c r="H116" s="363" t="s">
        <v>1006</v>
      </c>
      <c r="I116" s="568">
        <f>'PTBA-ANDZOA'!V47</f>
        <v>15552.731848298372</v>
      </c>
      <c r="J116" s="634" t="s">
        <v>1177</v>
      </c>
      <c r="K116" s="703">
        <v>43800</v>
      </c>
      <c r="L116" s="64"/>
      <c r="O116" s="19"/>
    </row>
    <row r="117" spans="2:15" x14ac:dyDescent="0.3">
      <c r="B117" s="65"/>
      <c r="C117" s="350"/>
      <c r="D117" s="350"/>
      <c r="E117" s="1193"/>
      <c r="F117" s="1242"/>
      <c r="G117" s="1195" t="s">
        <v>1013</v>
      </c>
      <c r="H117" s="363" t="s">
        <v>1007</v>
      </c>
      <c r="I117" s="568">
        <f>'PTBA-ANDZOA'!V48</f>
        <v>0</v>
      </c>
      <c r="J117" s="634"/>
      <c r="K117" s="703"/>
      <c r="L117" s="64"/>
      <c r="O117" s="19"/>
    </row>
    <row r="118" spans="2:15" x14ac:dyDescent="0.3">
      <c r="B118" s="65"/>
      <c r="C118" s="350"/>
      <c r="D118" s="350"/>
      <c r="E118" s="1193"/>
      <c r="F118" s="1242"/>
      <c r="G118" s="1195"/>
      <c r="H118" s="363" t="s">
        <v>1008</v>
      </c>
      <c r="I118" s="568">
        <f>'PTBA-ANDZOA'!V49</f>
        <v>10368.48789886558</v>
      </c>
      <c r="J118" s="634" t="s">
        <v>1208</v>
      </c>
      <c r="K118" s="703"/>
      <c r="L118" s="64"/>
      <c r="O118" s="19"/>
    </row>
    <row r="119" spans="2:15" x14ac:dyDescent="0.3">
      <c r="B119" s="65"/>
      <c r="C119" s="350"/>
      <c r="D119" s="350"/>
      <c r="E119" s="1193"/>
      <c r="F119" s="1242"/>
      <c r="G119" s="1195"/>
      <c r="H119" s="363" t="s">
        <v>1009</v>
      </c>
      <c r="I119" s="568">
        <f>'PTBA-ANDZOA'!V50</f>
        <v>0</v>
      </c>
      <c r="J119" s="633"/>
      <c r="K119" s="703"/>
      <c r="L119" s="64"/>
      <c r="O119" s="19"/>
    </row>
    <row r="120" spans="2:15" x14ac:dyDescent="0.3">
      <c r="B120" s="65"/>
      <c r="C120" s="350"/>
      <c r="D120" s="350"/>
      <c r="E120" s="1193"/>
      <c r="F120" s="1242"/>
      <c r="G120" s="1195" t="s">
        <v>957</v>
      </c>
      <c r="H120" s="363" t="s">
        <v>1010</v>
      </c>
      <c r="I120" s="568">
        <f>'PTBA-ANDZOA'!V51</f>
        <v>0</v>
      </c>
      <c r="J120" s="633"/>
      <c r="K120" s="703"/>
      <c r="L120" s="64"/>
      <c r="O120" s="19"/>
    </row>
    <row r="121" spans="2:15" x14ac:dyDescent="0.3">
      <c r="B121" s="65"/>
      <c r="C121" s="350"/>
      <c r="D121" s="350"/>
      <c r="E121" s="1193"/>
      <c r="F121" s="1242"/>
      <c r="G121" s="1195"/>
      <c r="H121" s="363" t="s">
        <v>1011</v>
      </c>
      <c r="I121" s="568">
        <f>'PTBA-ANDZOA'!V52</f>
        <v>26024.904626152609</v>
      </c>
      <c r="J121" s="634" t="s">
        <v>1177</v>
      </c>
      <c r="K121" s="703">
        <v>43800</v>
      </c>
      <c r="L121" s="64"/>
      <c r="O121" s="19"/>
    </row>
    <row r="122" spans="2:15" x14ac:dyDescent="0.3">
      <c r="B122" s="65"/>
      <c r="C122" s="350"/>
      <c r="D122" s="350"/>
      <c r="E122" s="1178" t="s">
        <v>869</v>
      </c>
      <c r="F122" s="1178"/>
      <c r="G122" s="1178"/>
      <c r="H122" s="1178"/>
      <c r="I122" s="352">
        <f>SUM(I113:I121)</f>
        <v>97878.525765291095</v>
      </c>
      <c r="J122" s="633"/>
      <c r="K122" s="703"/>
      <c r="L122" s="64"/>
      <c r="O122" s="19"/>
    </row>
    <row r="123" spans="2:15" ht="17.25" customHeight="1" x14ac:dyDescent="0.3">
      <c r="B123" s="65"/>
      <c r="C123" s="350"/>
      <c r="D123" s="350"/>
      <c r="E123" s="1193" t="s">
        <v>1022</v>
      </c>
      <c r="F123" s="1241" t="s">
        <v>864</v>
      </c>
      <c r="G123" s="1195" t="s">
        <v>962</v>
      </c>
      <c r="H123" s="363" t="s">
        <v>1014</v>
      </c>
      <c r="I123" s="568">
        <f>'PTBA-ANDZOA'!V54</f>
        <v>10368.48789886558</v>
      </c>
      <c r="J123" s="634" t="s">
        <v>1177</v>
      </c>
      <c r="K123" s="703">
        <v>43800</v>
      </c>
      <c r="L123" s="64"/>
      <c r="O123" s="19"/>
    </row>
    <row r="124" spans="2:15" ht="17.25" customHeight="1" x14ac:dyDescent="0.3">
      <c r="B124" s="65"/>
      <c r="C124" s="350"/>
      <c r="D124" s="350"/>
      <c r="E124" s="1193"/>
      <c r="F124" s="1241"/>
      <c r="G124" s="1195"/>
      <c r="H124" s="363" t="s">
        <v>1036</v>
      </c>
      <c r="I124" s="568">
        <f>'PTBA-ANDZOA'!V55</f>
        <v>0</v>
      </c>
      <c r="J124" s="634"/>
      <c r="K124" s="703"/>
      <c r="L124" s="64"/>
      <c r="O124" s="19"/>
    </row>
    <row r="125" spans="2:15" ht="17.25" customHeight="1" x14ac:dyDescent="0.3">
      <c r="B125" s="65"/>
      <c r="C125" s="350"/>
      <c r="D125" s="350"/>
      <c r="E125" s="1193"/>
      <c r="F125" s="1241"/>
      <c r="G125" s="1195" t="s">
        <v>965</v>
      </c>
      <c r="H125" s="363" t="s">
        <v>1037</v>
      </c>
      <c r="I125" s="568">
        <f>'PTBA-ANDZOA'!V56</f>
        <v>0</v>
      </c>
      <c r="J125" s="634"/>
      <c r="K125" s="703"/>
      <c r="L125" s="64"/>
      <c r="O125" s="19"/>
    </row>
    <row r="126" spans="2:15" ht="17.25" customHeight="1" x14ac:dyDescent="0.3">
      <c r="B126" s="65"/>
      <c r="C126" s="350"/>
      <c r="D126" s="350"/>
      <c r="E126" s="1193"/>
      <c r="F126" s="1241"/>
      <c r="G126" s="1195"/>
      <c r="H126" s="363" t="s">
        <v>1015</v>
      </c>
      <c r="I126" s="568">
        <f>'PTBA-ANDZOA'!V57</f>
        <v>89894.790083164582</v>
      </c>
      <c r="J126" s="634" t="s">
        <v>1208</v>
      </c>
      <c r="K126" s="703">
        <v>43617</v>
      </c>
      <c r="L126" s="64"/>
      <c r="O126" s="19"/>
    </row>
    <row r="127" spans="2:15" ht="17.25" customHeight="1" x14ac:dyDescent="0.3">
      <c r="B127" s="65"/>
      <c r="C127" s="350"/>
      <c r="D127" s="350"/>
      <c r="E127" s="1193"/>
      <c r="F127" s="1241"/>
      <c r="G127" s="1195" t="s">
        <v>969</v>
      </c>
      <c r="H127" s="363" t="s">
        <v>1038</v>
      </c>
      <c r="I127" s="568">
        <f>'PTBA-ANDZOA'!V58</f>
        <v>0</v>
      </c>
      <c r="J127" s="634"/>
      <c r="K127" s="703"/>
      <c r="L127" s="64"/>
      <c r="O127" s="19"/>
    </row>
    <row r="128" spans="2:15" ht="17.25" customHeight="1" x14ac:dyDescent="0.3">
      <c r="B128" s="65"/>
      <c r="C128" s="350"/>
      <c r="D128" s="350"/>
      <c r="E128" s="1193"/>
      <c r="F128" s="1241"/>
      <c r="G128" s="1195"/>
      <c r="H128" s="363" t="s">
        <v>1039</v>
      </c>
      <c r="I128" s="568">
        <f>'PTBA-ANDZOA'!V59</f>
        <v>0</v>
      </c>
      <c r="J128" s="634"/>
      <c r="K128" s="703"/>
      <c r="L128" s="64"/>
      <c r="O128" s="19"/>
    </row>
    <row r="129" spans="2:15" ht="17.25" customHeight="1" x14ac:dyDescent="0.3">
      <c r="B129" s="65"/>
      <c r="C129" s="350"/>
      <c r="D129" s="350"/>
      <c r="E129" s="1193"/>
      <c r="F129" s="1241"/>
      <c r="G129" s="1195" t="s">
        <v>972</v>
      </c>
      <c r="H129" s="363" t="s">
        <v>1040</v>
      </c>
      <c r="I129" s="568">
        <f>'PTBA-ANDZOA'!V60</f>
        <v>0</v>
      </c>
      <c r="J129" s="634"/>
      <c r="K129" s="703"/>
      <c r="L129" s="64"/>
      <c r="O129" s="19"/>
    </row>
    <row r="130" spans="2:15" ht="17.25" customHeight="1" x14ac:dyDescent="0.3">
      <c r="B130" s="65"/>
      <c r="C130" s="350"/>
      <c r="D130" s="350"/>
      <c r="E130" s="1193"/>
      <c r="F130" s="1241"/>
      <c r="G130" s="1195"/>
      <c r="H130" s="363" t="s">
        <v>1041</v>
      </c>
      <c r="I130" s="568">
        <f>'PTBA-ANDZOA'!V61</f>
        <v>0</v>
      </c>
      <c r="J130" s="634"/>
      <c r="K130" s="703"/>
      <c r="L130" s="64"/>
      <c r="O130" s="19"/>
    </row>
    <row r="131" spans="2:15" x14ac:dyDescent="0.3">
      <c r="B131" s="65"/>
      <c r="C131" s="350"/>
      <c r="D131" s="350"/>
      <c r="E131" s="1178" t="s">
        <v>870</v>
      </c>
      <c r="F131" s="1178"/>
      <c r="G131" s="1178"/>
      <c r="H131" s="1178"/>
      <c r="I131" s="352">
        <f>SUM(I123:I130)</f>
        <v>100263.27798203017</v>
      </c>
      <c r="J131" s="633"/>
      <c r="K131" s="703"/>
      <c r="L131" s="64"/>
      <c r="O131" s="19"/>
    </row>
    <row r="132" spans="2:15" ht="18" customHeight="1" x14ac:dyDescent="0.3">
      <c r="B132" s="65"/>
      <c r="C132" s="44"/>
      <c r="D132" s="44"/>
      <c r="E132" s="365" t="s">
        <v>276</v>
      </c>
      <c r="F132" s="365"/>
      <c r="G132" s="365"/>
      <c r="H132" s="365"/>
      <c r="I132" s="366">
        <f>+I131+I122+I112+I101+I91</f>
        <v>1579851.9964487348</v>
      </c>
      <c r="J132" s="635"/>
      <c r="K132" s="703"/>
      <c r="L132" s="64"/>
      <c r="O132" s="19"/>
    </row>
    <row r="133" spans="2:15" x14ac:dyDescent="0.3">
      <c r="B133" s="65"/>
      <c r="C133" s="44"/>
      <c r="D133" s="44"/>
      <c r="E133" s="66"/>
      <c r="F133" s="66"/>
      <c r="G133" s="66"/>
      <c r="H133" s="66"/>
      <c r="I133" s="66"/>
      <c r="J133" s="66"/>
      <c r="K133" s="66"/>
      <c r="L133" s="64"/>
      <c r="O133" s="19"/>
    </row>
    <row r="134" spans="2:15" ht="34.5" customHeight="1" thickBot="1" x14ac:dyDescent="0.35">
      <c r="B134" s="65"/>
      <c r="C134" s="1171" t="s">
        <v>282</v>
      </c>
      <c r="D134" s="1171"/>
      <c r="E134" s="1171"/>
      <c r="F134" s="1171"/>
      <c r="G134" s="1171"/>
      <c r="H134" s="1171"/>
      <c r="I134" s="1171"/>
      <c r="J134" s="137"/>
      <c r="K134" s="66"/>
      <c r="L134" s="64"/>
      <c r="O134" s="19"/>
    </row>
    <row r="135" spans="2:15" ht="63.75" customHeight="1" thickBot="1" x14ac:dyDescent="0.35">
      <c r="B135" s="65"/>
      <c r="C135" s="1171" t="s">
        <v>215</v>
      </c>
      <c r="D135" s="1171"/>
      <c r="E135" s="1179"/>
      <c r="F135" s="1180"/>
      <c r="G135" s="1180"/>
      <c r="H135" s="1180"/>
      <c r="I135" s="1181"/>
      <c r="J135" s="66"/>
      <c r="K135" s="66"/>
      <c r="L135" s="64"/>
      <c r="O135" s="19"/>
    </row>
    <row r="136" spans="2:15" ht="14.5" thickBot="1" x14ac:dyDescent="0.35">
      <c r="B136" s="65"/>
      <c r="C136" s="1182"/>
      <c r="D136" s="1182"/>
      <c r="E136" s="1182"/>
      <c r="F136" s="1182"/>
      <c r="G136" s="1182"/>
      <c r="H136" s="1182"/>
      <c r="I136" s="1182"/>
      <c r="J136" s="66"/>
      <c r="K136" s="66"/>
      <c r="L136" s="64"/>
    </row>
    <row r="137" spans="2:15" ht="59.25" customHeight="1" thickBot="1" x14ac:dyDescent="0.35">
      <c r="B137" s="65"/>
      <c r="C137" s="1171" t="s">
        <v>216</v>
      </c>
      <c r="D137" s="1171"/>
      <c r="E137" s="1183"/>
      <c r="F137" s="1184"/>
      <c r="G137" s="1184"/>
      <c r="H137" s="1184"/>
      <c r="I137" s="1185"/>
      <c r="J137" s="66"/>
      <c r="K137" s="66"/>
      <c r="L137" s="64"/>
    </row>
    <row r="138" spans="2:15" ht="100" customHeight="1" thickBot="1" x14ac:dyDescent="0.35">
      <c r="B138" s="65"/>
      <c r="C138" s="1171" t="s">
        <v>217</v>
      </c>
      <c r="D138" s="1171"/>
      <c r="E138" s="1172"/>
      <c r="F138" s="1173"/>
      <c r="G138" s="1173"/>
      <c r="H138" s="1173"/>
      <c r="I138" s="1174"/>
      <c r="J138" s="66"/>
      <c r="K138" s="66"/>
      <c r="L138" s="64"/>
    </row>
    <row r="139" spans="2:15" x14ac:dyDescent="0.3">
      <c r="B139" s="65"/>
      <c r="C139" s="44"/>
      <c r="D139" s="44"/>
      <c r="E139" s="66"/>
      <c r="F139" s="66"/>
      <c r="G139" s="66"/>
      <c r="H139" s="66"/>
      <c r="I139" s="66"/>
      <c r="J139" s="66"/>
      <c r="K139" s="66"/>
      <c r="L139" s="64"/>
    </row>
    <row r="140" spans="2:15" ht="14.5" thickBot="1" x14ac:dyDescent="0.35">
      <c r="B140" s="67"/>
      <c r="C140" s="1175"/>
      <c r="D140" s="1175"/>
      <c r="E140" s="68"/>
      <c r="F140" s="68"/>
      <c r="G140" s="68"/>
      <c r="H140" s="68"/>
      <c r="I140" s="49"/>
      <c r="J140" s="49"/>
      <c r="K140" s="49"/>
      <c r="L140" s="69"/>
    </row>
    <row r="141" spans="2:15" s="24" customFormat="1" ht="65.150000000000006" customHeight="1" x14ac:dyDescent="0.3">
      <c r="B141" s="23"/>
      <c r="C141" s="1176"/>
      <c r="D141" s="1176"/>
      <c r="E141" s="1177"/>
      <c r="F141" s="1177"/>
      <c r="G141" s="1177"/>
      <c r="H141" s="1177"/>
      <c r="I141" s="1177"/>
      <c r="J141" s="12"/>
      <c r="O141" s="573"/>
    </row>
  </sheetData>
  <mergeCells count="101">
    <mergeCell ref="C140:D140"/>
    <mergeCell ref="C141:D141"/>
    <mergeCell ref="E141:I141"/>
    <mergeCell ref="C134:I134"/>
    <mergeCell ref="C138:D138"/>
    <mergeCell ref="C137:D137"/>
    <mergeCell ref="E138:I138"/>
    <mergeCell ref="E137:I137"/>
    <mergeCell ref="C3:J3"/>
    <mergeCell ref="C136:I136"/>
    <mergeCell ref="C9:D9"/>
    <mergeCell ref="C11:D11"/>
    <mergeCell ref="C75:D75"/>
    <mergeCell ref="C76:D76"/>
    <mergeCell ref="C135:D135"/>
    <mergeCell ref="E135:I135"/>
    <mergeCell ref="C5:I5"/>
    <mergeCell ref="B4:I4"/>
    <mergeCell ref="C17:D17"/>
    <mergeCell ref="C7:D7"/>
    <mergeCell ref="C16:D16"/>
    <mergeCell ref="C14:I14"/>
    <mergeCell ref="E13:I13"/>
    <mergeCell ref="E9:I9"/>
    <mergeCell ref="E11:I11"/>
    <mergeCell ref="C8:I8"/>
    <mergeCell ref="C13:D13"/>
    <mergeCell ref="E18:E31"/>
    <mergeCell ref="F18:F31"/>
    <mergeCell ref="G18:G22"/>
    <mergeCell ref="G23:G25"/>
    <mergeCell ref="G26:G27"/>
    <mergeCell ref="G28:G29"/>
    <mergeCell ref="G30:G31"/>
    <mergeCell ref="C10:D10"/>
    <mergeCell ref="E10:I10"/>
    <mergeCell ref="E32:H32"/>
    <mergeCell ref="E33:E41"/>
    <mergeCell ref="E42:H42"/>
    <mergeCell ref="E43:E52"/>
    <mergeCell ref="F43:F52"/>
    <mergeCell ref="G43:G45"/>
    <mergeCell ref="G46:G48"/>
    <mergeCell ref="G49:G50"/>
    <mergeCell ref="G51:G52"/>
    <mergeCell ref="F33:F41"/>
    <mergeCell ref="G33:G34"/>
    <mergeCell ref="G35:G37"/>
    <mergeCell ref="G38:G39"/>
    <mergeCell ref="G40:G41"/>
    <mergeCell ref="E63:H63"/>
    <mergeCell ref="E64:E71"/>
    <mergeCell ref="F64:F71"/>
    <mergeCell ref="G64:G65"/>
    <mergeCell ref="G66:G67"/>
    <mergeCell ref="G68:G69"/>
    <mergeCell ref="G70:G71"/>
    <mergeCell ref="E53:H53"/>
    <mergeCell ref="E54:E62"/>
    <mergeCell ref="F54:F62"/>
    <mergeCell ref="G54:G55"/>
    <mergeCell ref="G56:G57"/>
    <mergeCell ref="G58:G60"/>
    <mergeCell ref="G61:G62"/>
    <mergeCell ref="E91:H91"/>
    <mergeCell ref="E92:E100"/>
    <mergeCell ref="F92:F100"/>
    <mergeCell ref="G92:G93"/>
    <mergeCell ref="G94:G96"/>
    <mergeCell ref="G97:G98"/>
    <mergeCell ref="G99:G100"/>
    <mergeCell ref="E72:H72"/>
    <mergeCell ref="E77:E90"/>
    <mergeCell ref="F77:F90"/>
    <mergeCell ref="G77:G81"/>
    <mergeCell ref="G82:G84"/>
    <mergeCell ref="G85:G86"/>
    <mergeCell ref="G87:G88"/>
    <mergeCell ref="G89:G90"/>
    <mergeCell ref="E101:H101"/>
    <mergeCell ref="E102:E111"/>
    <mergeCell ref="F102:F111"/>
    <mergeCell ref="G102:G104"/>
    <mergeCell ref="G105:G107"/>
    <mergeCell ref="G108:G109"/>
    <mergeCell ref="G110:G111"/>
    <mergeCell ref="E131:H131"/>
    <mergeCell ref="E122:H122"/>
    <mergeCell ref="E123:E130"/>
    <mergeCell ref="F123:F130"/>
    <mergeCell ref="G123:G124"/>
    <mergeCell ref="G125:G126"/>
    <mergeCell ref="G127:G128"/>
    <mergeCell ref="G129:G130"/>
    <mergeCell ref="E112:H112"/>
    <mergeCell ref="E113:E121"/>
    <mergeCell ref="F113:F121"/>
    <mergeCell ref="G113:G114"/>
    <mergeCell ref="G115:G116"/>
    <mergeCell ref="G117:G119"/>
    <mergeCell ref="G120:G121"/>
  </mergeCells>
  <dataValidations count="1">
    <dataValidation type="whole" allowBlank="1" showInputMessage="1" showErrorMessage="1" sqref="E9:H10 E137:H137" xr:uid="{00000000-0002-0000-0700-000000000000}">
      <formula1>-999999999</formula1>
      <formula2>999999999</formula2>
    </dataValidation>
  </dataValidations>
  <pageMargins left="0.25" right="0.25" top="0.18" bottom="0.19"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9</ProjectId>
    <ReportingPeriod xmlns="dc9b7735-1e97-4a24-b7a2-47bf824ab39e" xsi:nil="true"/>
    <WBDocsDocURL xmlns="dc9b7735-1e97-4a24-b7a2-47bf824ab39e">http://wbdocsservices.worldbank.org/services?I4_SERVICE=VC&amp;I4_KEY=TF069013&amp;I4_DOCID=090224b086ce2735</WBDocsDocURL>
    <WBDocsDocURLPublicOnly xmlns="dc9b7735-1e97-4a24-b7a2-47bf824ab39e" xsi:nil="true"/>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No</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6" ma:contentTypeDescription="Create a new document." ma:contentTypeScope="" ma:versionID="f497df80f8b07708b2cc93230a84a8e7">
  <xsd:schema xmlns:xsd="http://www.w3.org/2001/XMLSchema" xmlns:xs="http://www.w3.org/2001/XMLSchema" xmlns:p="http://schemas.microsoft.com/office/2006/metadata/properties" xmlns:ns2="dc9b7735-1e97-4a24-b7a2-47bf824ab39e" targetNamespace="http://schemas.microsoft.com/office/2006/metadata/properties" ma:root="true" ma:fieldsID="13db022337b9084107d4abf624d3373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560FF6-21A8-41A3-858F-B6FCAB5633A9}">
  <ds:schemaRefs>
    <ds:schemaRef ds:uri="http://purl.org/dc/elements/1.1/"/>
    <ds:schemaRef ds:uri="dc9b7735-1e97-4a24-b7a2-47bf824ab39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37637B34-E8E1-4B18-9C34-9845BB40C7FD}"/>
</file>

<file path=customXml/itemProps3.xml><?xml version="1.0" encoding="utf-8"?>
<ds:datastoreItem xmlns:ds="http://schemas.openxmlformats.org/officeDocument/2006/customXml" ds:itemID="{765E43C5-E1B2-4A34-9241-BB186774CF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Reliquats-au-31-déc</vt:lpstr>
      <vt:lpstr>Reliquats-au-31-déc USD</vt:lpstr>
      <vt:lpstr>Crédits_Engagements_2019</vt:lpstr>
      <vt:lpstr>PTBA-ANDZOA</vt:lpstr>
      <vt:lpstr>PTBA 4</vt:lpstr>
      <vt:lpstr>Versements</vt:lpstr>
      <vt:lpstr>Overview</vt:lpstr>
      <vt:lpstr>FinancialData-to-Dec-31-2019</vt:lpstr>
      <vt:lpstr>FinancialData-to-Mar-31-2020</vt:lpstr>
      <vt:lpstr>Project Indicators</vt:lpstr>
      <vt:lpstr>Risk Assesment</vt:lpstr>
      <vt:lpstr>Rating</vt:lpstr>
      <vt:lpstr>Lessons Learned</vt:lpstr>
      <vt:lpstr>Results Tracker-exemple</vt:lpstr>
      <vt:lpstr>Results Tracker</vt:lpstr>
      <vt:lpstr>'Results Tracker'!incomelevel</vt:lpstr>
      <vt:lpstr>incomelevel</vt:lpstr>
      <vt:lpstr>'Results Tracker'!info</vt:lpstr>
      <vt:lpstr>info</vt:lpstr>
      <vt:lpstr>'Results Tracker'!overalleffect</vt:lpstr>
      <vt:lpstr>overalleffect</vt:lpstr>
      <vt:lpstr>'Results Tracker'!physicalassets</vt:lpstr>
      <vt:lpstr>physicalassets</vt:lpstr>
      <vt:lpstr>Crédits_Engagements_2019!Print_Area</vt:lpstr>
      <vt:lpstr>'PTBA-ANDZOA'!Print_Area</vt:lpstr>
      <vt:lpstr>'Reliquats-au-31-déc USD'!Print_Area</vt:lpstr>
      <vt:lpstr>'PTBA-ANDZOA'!Print_Titles</vt:lpstr>
      <vt:lpstr>'Results Tracker'!quality</vt:lpstr>
      <vt:lpstr>quality</vt:lpstr>
      <vt:lpstr>'Results Tracker'!question</vt:lpstr>
      <vt:lpstr>question</vt:lpstr>
      <vt:lpstr>'Results Tracker'!responses</vt:lpstr>
      <vt:lpstr>responses</vt:lpstr>
      <vt:lpstr>'Results Tracker'!state</vt:lpstr>
      <vt:lpstr>state</vt:lpstr>
      <vt:lpstr>'Results Tracker'!type1</vt:lpstr>
      <vt:lpstr>type1</vt:lpstr>
      <vt:lpstr>'Results Tracker'!yesno</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2018-07-16T11:50:45Z</cp:lastPrinted>
  <dcterms:created xsi:type="dcterms:W3CDTF">2010-11-30T14:15:01Z</dcterms:created>
  <dcterms:modified xsi:type="dcterms:W3CDTF">2020-07-30T15:53:17Z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vt:lpwstr>
  </property>
</Properties>
</file>