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0" windowWidth="15330" windowHeight="10035" activeTab="2"/>
  </bookViews>
  <sheets>
    <sheet name="Overview" sheetId="1" r:id="rId1"/>
    <sheet name="FinancialData" sheetId="2" r:id="rId2"/>
    <sheet name="Procurement" sheetId="3" r:id="rId3"/>
    <sheet name="Risk Assesment" sheetId="4" r:id="rId4"/>
    <sheet name="Rating" sheetId="5" r:id="rId5"/>
    <sheet name="Project Indicators" sheetId="6" r:id="rId6"/>
    <sheet name="Lessons Learned" sheetId="7" r:id="rId7"/>
    <sheet name="AF Tracking Tool" sheetId="8" r:id="rId8"/>
    <sheet name="Units for Indicators" sheetId="9" r:id="rId9"/>
  </sheets>
  <externalReferences>
    <externalReference r:id="rId12"/>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<sst xmlns="http://schemas.openxmlformats.org/spreadsheetml/2006/main" count="891" uniqueCount="578">
  <si>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</si>
  <si>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</si>
  <si>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</si>
  <si>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</si>
  <si>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</si>
  <si>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</si>
  <si>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</si>
  <si>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</si>
  <si>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</si>
  <si>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</si>
  <si>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</si>
  <si>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</si>
  <si>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</si>
  <si>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</si>
  <si>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</si>
  <si>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</si>
  <si>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</si>
  <si>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</si>
  <si>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</si>
  <si>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</si>
  <si>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</si>
  <si>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</si>
  <si>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</si>
  <si>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</si>
  <si>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</si>
  <si>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</si>
  <si>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</si>
  <si>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</si>
  <si>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</si>
  <si>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</si>
  <si>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</si>
  <si>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</si>
  <si>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</si>
  <si>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</si>
  <si>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</si>
  <si>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</si>
  <si>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</si>
  <si>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</si>
  <si>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</si>
  <si>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</si>
  <si>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</si>
  <si>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</si>
  <si>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</si>
  <si>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</si>
  <si>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</si>
  <si>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</si>
  <si>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</si>
  <si>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</si>
  <si>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</si>
  <si>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</si>
  <si>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</si>
  <si>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</si>
  <si>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</si>
  <si>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</si>
  <si>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</si>
  <si>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</si>
  <si>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</si>
  <si>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</si>
  <si>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</si>
  <si>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</si>
  <si>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</si>
  <si>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</si>
  <si>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</si>
  <si>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</si>
  <si>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</si>
  <si>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</si>
  <si>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</si>
  <si>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</si>
  <si>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</si>
  <si>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</si>
  <si>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</si>
  <si>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</si>
  <si>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</si>
  <si>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</si>
  <si>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</si>
  <si>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</si>
  <si>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</si>
  <si>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</si>
  <si>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</si>
  <si>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</si>
  <si>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</si>
  <si>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</si>
  <si>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</si>
  <si>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</si>
  <si>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</si>
  <si>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</si>
  <si>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</si>
  <si>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</si>
  <si>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</si>
  <si>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</si>
  <si>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</si>
  <si>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</si>
  <si>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</si>
  <si>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</si>
  <si>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</si>
  <si>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</si>
  <si>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</si>
  <si>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</si>
  <si>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</si>
  <si>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</si>
  <si>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</si>
  <si>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</si>
  <si>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</si>
  <si>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</si>
  <si>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</si>
  <si>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</si>
  <si>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</si>
  <si>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</si>
  <si>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</si>
  <si>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</si>
  <si>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</si>
  <si>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</si>
  <si>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</si>
  <si>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</si>
  <si>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</si>
  <si>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</si>
  <si>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</si>
  <si>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</si>
  <si>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</si>
  <si>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</si>
  <si>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</si>
  <si>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</si>
  <si>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</si>
  <si>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</si>
  <si>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</si>
  <si>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</si>
  <si>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</si>
  <si>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</si>
  <si>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</si>
  <si>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</si>
  <si>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</si>
  <si>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</si>
  <si>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</si>
  <si>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</si>
  <si>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</si>
  <si>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</si>
  <si>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</si>
  <si>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</si>
  <si>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</si>
  <si>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</si>
  <si>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</si>
  <si>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</si>
  <si>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</si>
  <si>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</si>
  <si>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</si>
  <si>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</si>
  <si>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</si>
  <si>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</si>
  <si>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</si>
  <si>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</si>
  <si>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</si>
  <si>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</si>
  <si>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</si>
  <si>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</si>
  <si>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</si>
  <si>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</si>
  <si>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</si>
  <si>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</si>
  <si>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</si>
  <si>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</si>
  <si>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</si>
  <si>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</si>
  <si>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</si>
  <si>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</si>
  <si>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</si>
  <si>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</si>
  <si>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</si>
  <si>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</si>
  <si>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</si>
  <si>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</si>
  <si>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</si>
  <si>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</si>
  <si>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</si>
  <si>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</si>
  <si>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</si>
  <si>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</si>
  <si>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</si>
  <si>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</si>
  <si>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</si>
  <si>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</si>
  <si>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</si>
  <si>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</si>
  <si>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</si>
  <si>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</si>
  <si>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</si>
  <si>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</si>
  <si>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</si>
  <si>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</si>
  <si>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</si>
  <si>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</si>
  <si>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</si>
  <si>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</si>
  <si>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</si>
  <si>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</si>
  <si>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</si>
  <si>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</si>
  <si>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</si>
  <si>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</si>
  <si>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</si>
  <si>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</si>
  <si>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</si>
  <si>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</si>
  <si>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</si>
  <si>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</si>
  <si>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</si>
  <si>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</si>
  <si>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</si>
  <si>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</si>
  <si>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</si>
  <si>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</si>
  <si>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</si>
  <si>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</si>
  <si>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</si>
  <si>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</si>
  <si>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</si>
  <si>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</si>
  <si>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</si>
  <si>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</si>
  <si>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</si>
  <si>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</si>
  <si>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AMOUNT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</si>
  <si>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</si>
  <si>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</si>
  <si>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</si>
  <si>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</si>
  <si>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</si>
  <si>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</si>
  <si>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</si>
  <si>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</si>
  <si>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</si>
  <si>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</si>
  <si>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</si>
  <si>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</si>
  <si>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</si>
  <si>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</si>
  <si>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</si>
  <si>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</si>
  <si>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</si>
  <si>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Signature Date</t>
  </si>
  <si>
    <t>Agency / Contracted party</t>
  </si>
  <si>
    <t>Contract Type</t>
  </si>
  <si>
    <t>BIDS</t>
  </si>
  <si>
    <t>CONTRACT</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</si>
  <si>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</si>
  <si>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</si>
  <si>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</si>
  <si>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</si>
  <si>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</si>
  <si>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</si>
  <si>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</si>
  <si>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</si>
  <si>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</si>
  <si>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</si>
  <si>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</si>
  <si>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</si>
  <si>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</si>
  <si>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</si>
  <si>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</si>
  <si>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</si>
  <si>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</si>
  <si>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</si>
  <si>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</si>
  <si>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</si>
  <si>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</si>
  <si>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</si>
  <si>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</si>
  <si>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OBJECTIVE 2</t>
  </si>
  <si>
    <t xml:space="preserve">Target at CEO Endorsement </t>
  </si>
  <si>
    <t>Baseline</t>
  </si>
  <si>
    <t>OBJECTIVE 3</t>
  </si>
  <si>
    <t>OBJECTIVE 4</t>
  </si>
  <si>
    <t>Project Performance Report (PPR)</t>
  </si>
  <si>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</si>
  <si>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</si>
  <si>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</si>
  <si>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</si>
  <si>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</si>
  <si>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</si>
  <si>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</si>
  <si>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</si>
  <si>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</si>
  <si>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</si>
  <si>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</si>
  <si>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</si>
  <si>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</si>
  <si>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</si>
  <si>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</si>
  <si>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</si>
  <si>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</si>
  <si>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</si>
  <si>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</si>
  <si>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</si>
  <si>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</si>
  <si>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</si>
  <si>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</si>
  <si>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</si>
  <si>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</si>
  <si>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</si>
  <si>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</si>
  <si>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</si>
  <si>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</si>
  <si>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</si>
  <si>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</si>
  <si>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</si>
  <si>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</si>
  <si>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</si>
  <si>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</si>
  <si>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</si>
  <si>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</si>
  <si>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</si>
  <si>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</si>
  <si>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</si>
  <si>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</si>
  <si>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</si>
  <si>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</si>
  <si>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</si>
  <si>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</si>
  <si>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</si>
  <si>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</si>
  <si>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</si>
  <si>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</si>
  <si>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</si>
  <si>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</si>
  <si>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</si>
  <si>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</si>
  <si>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</si>
  <si>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</si>
  <si>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</si>
  <si>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</si>
  <si>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</si>
  <si>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Reduction of Risks and Vulnerability Based on Flooding and Droughts in the Estero Real River Watershed.</t>
  </si>
  <si>
    <t>United Nations Development Program</t>
  </si>
  <si>
    <t xml:space="preserve">Multilateral </t>
  </si>
  <si>
    <t>March, 2011</t>
  </si>
  <si>
    <t>December, 2010</t>
  </si>
  <si>
    <t>Denis Fuentes</t>
  </si>
  <si>
    <t>dfuentes@marena.gob.ni</t>
  </si>
  <si>
    <t>Maria Fernanda Sanchez</t>
  </si>
  <si>
    <t>fernanda.sanchez@undp.org</t>
  </si>
  <si>
    <t>March, 2015</t>
  </si>
  <si>
    <t>Watershed of the Estero Real River, sub watershed of Villanueva River.</t>
  </si>
  <si>
    <t>67.55 has</t>
  </si>
  <si>
    <t>0 lts/seg</t>
  </si>
  <si>
    <t>161.5 has</t>
  </si>
  <si>
    <t>50 lts/seg</t>
  </si>
  <si>
    <t>1120 has</t>
  </si>
  <si>
    <t>400 has</t>
  </si>
  <si>
    <t>http://www.adaptation-fund.org/project/1331-reduction-risks-and-vulnerability-based-flooding-and-droughts-estero-real-river-watersh</t>
  </si>
  <si>
    <t xml:space="preserve">PROJECTED COST Julio </t>
  </si>
  <si>
    <t xml:space="preserve"> </t>
  </si>
  <si>
    <t>karlavanessa2005@gmail.com</t>
  </si>
  <si>
    <t>Ana Marcia Zeledón</t>
  </si>
  <si>
    <t>mzeledon@marena.gob.ni</t>
  </si>
  <si>
    <t>Consultancy Contract (Individual Contract)</t>
  </si>
  <si>
    <t xml:space="preserve">Submitted Bids   </t>
  </si>
  <si>
    <t xml:space="preserve">Winning Bid    </t>
  </si>
  <si>
    <t>PIMS # 4448</t>
  </si>
  <si>
    <t>Amount</t>
  </si>
  <si>
    <t>Justification</t>
  </si>
  <si>
    <t>Karla Vanessa Rodriguez Gutierrez</t>
  </si>
  <si>
    <t xml:space="preserve">Expected Progress </t>
  </si>
  <si>
    <t>Maria Fernanda Sanchez  /   Reis Lopez Rello</t>
  </si>
  <si>
    <t>fernanda.sanchez@undp.org    /    reis.lopez.rello@undp.org</t>
  </si>
  <si>
    <t xml:space="preserve">The programme is aimed to reduce risks from droughts and flooding generated by climate change and variability in the watershed of the Estero Real River. In Chinandega and León, the Estero Real River Watershed (3.690 km2), and in particular the sub watershed of the Villanueva River (1,550 km2)—also known as Rio Grande or Aquespalapa—is emblematic of the combined impacts of poor development models and strong climate variability.
The programme will rely upon a coordinated set of interventions designed to implement new public policies for addressing climate change by introducing agro-ecological practices and participatory watershed management in highly vulnerable rural communities. Through targeted investments in water retention, long-term farm planning, and institutional capacity building in local communities, municipalities and government agencies, the Programme will validate an adaptation scheme as a vehicle for implementation of the national climate change strategy.
</t>
  </si>
  <si>
    <t>March 2011 - June 2013</t>
  </si>
  <si>
    <t>1. Investments in infrastructure for storing and using rain and surface water in eight micro-watersheds in the upper watershed of the Estero Real River.</t>
  </si>
  <si>
    <t>2. Introduction of climate resilient agro-ecological practices to make effective use of available water.</t>
  </si>
  <si>
    <t>3. Institutional development and capacity building in micro-watersheds, municipalities, and participating national institutions</t>
  </si>
  <si>
    <t>4. Ongoing monitoring and analysis of climatic conditions and changes in land use, water flows and soil quality</t>
  </si>
  <si>
    <t>Project Execution</t>
  </si>
  <si>
    <t>Financial information:  cumulative from project start to June 2013</t>
  </si>
  <si>
    <t>Limited access to credit can limit adopting new technologies</t>
  </si>
  <si>
    <t>Key national and municipal stakeholders do not agree on a common watershed adaptation strategy</t>
  </si>
  <si>
    <t>Low</t>
  </si>
  <si>
    <t xml:space="preserve">No mitigation measure was required.
</t>
  </si>
  <si>
    <t>At least 880 rain water collection and storage structures supply water to family farms in 8 micro-watersheds.</t>
  </si>
  <si>
    <t>At least 1005 farming families have agro-ecological transformation plans in their farms, which will allow introducing climate resilient agro-ecological practices to use the available water effectively, using their own resources and available credit for their implementation.</t>
  </si>
  <si>
    <t>The preparation of 1005 agro-ecological transformation plans in family farms as an essential instrument to guide investments in productive systems.</t>
  </si>
  <si>
    <t>Identification and prioritization for 400 ha of riparian and recharge zones of drinking water systems in state of degradation.</t>
  </si>
  <si>
    <t>Design and development of a campaign to control and prevent forest, agricultural and livestock fires in coordination with Civil Defense.</t>
  </si>
  <si>
    <t xml:space="preserve">Develop a fire prevention and control campaign with the participation of local stakeholders of the micro-watersheds in the 3 municipalities.    </t>
  </si>
  <si>
    <t xml:space="preserve">Establish electronic information posts to gather information of each of the 8 micro-watersheds with support from SINIA-MARENA and the governmental institutions.            </t>
  </si>
  <si>
    <r>
      <rPr>
        <b/>
        <sz val="11"/>
        <color indexed="8"/>
        <rFont val="Times New Roman"/>
        <family val="1"/>
      </rPr>
      <t>Component 1:</t>
    </r>
    <r>
      <rPr>
        <sz val="11"/>
        <color indexed="8"/>
        <rFont val="Times New Roman"/>
        <family val="1"/>
      </rPr>
      <t xml:space="preserve">
Investments in infrastructure for storing and using rain and surface water in eight micro-watersheds in the upper watershed of the Estero Real River.
</t>
    </r>
  </si>
  <si>
    <r>
      <rPr>
        <b/>
        <sz val="11"/>
        <color indexed="8"/>
        <rFont val="Times New Roman"/>
        <family val="1"/>
      </rPr>
      <t>Component 2:</t>
    </r>
    <r>
      <rPr>
        <sz val="11"/>
        <color indexed="8"/>
        <rFont val="Times New Roman"/>
        <family val="1"/>
      </rPr>
      <t xml:space="preserve">
Introduction of climate resilient agro-ecological practices to make effective use of available water.
</t>
    </r>
  </si>
  <si>
    <t>Project actions/activities planned for current reporting period  are progressing on track to achieve most of its major objectives/outcomes with only minor shortcomings.</t>
  </si>
  <si>
    <t xml:space="preserve">Project actions/activities planned for current reporting period  are progressing on track to achieve most   major relevant objectives/outcomes, but with either significant shortcomings or modest overall relevance. </t>
  </si>
  <si>
    <t>Project actions/activities planned for current reporting period  are not progressing on track to achieve  major objectives/outcomes with major shortcomings or is expected to achieve only some of its major objectives/outcomes.</t>
  </si>
  <si>
    <t>Project actions/activities planned for current reporting period  are not progressing on track to achieve most of its major objectives/outcomes.</t>
  </si>
  <si>
    <t>Project actions/activities planned for current reporting period  are not on track and shows that it is failing to achieve, and is not expected to achieve, any of its objectives/outcomes.</t>
  </si>
  <si>
    <t>Number of farm families in the targeted micro-watersheds with at least one annual harvest.</t>
  </si>
  <si>
    <t>Number of farm families included in Sub-Watershed management proposal.</t>
  </si>
  <si>
    <t>Percentage of farms in each micro-watershed with access to irrigation by means of hydraulic works built with programme funds.</t>
  </si>
  <si>
    <t>Surface in hectares to increase low risk</t>
  </si>
  <si>
    <t>Amount of water (lts/sec) carried through the communal irrigation system infrastructures.</t>
  </si>
  <si>
    <t xml:space="preserve">Percentage of farmers in each micro-watershed, the water use of which is rated as satisfactory in relation to the relevant technical guidelines. </t>
  </si>
  <si>
    <t>Lessons learnt in eight micro-watersheds and the Villanueva River Sub-Watershed available in SINIA and other web sites and disseminated through exchange workshops.</t>
  </si>
  <si>
    <t>Hydrological study and number of news bulletins to disseminate the participatory monitoring of water quality and amount, soil conditions and use changes.</t>
  </si>
  <si>
    <t xml:space="preserve">Municipalities in watershed with climate change adaptation measures included with their official plans and related normative instruments. </t>
  </si>
  <si>
    <t xml:space="preserve">An experientially-based proposal endorsed by three municipal governments for the operation of a Sub-Watershed Committee for the Villanueva River basin. </t>
  </si>
  <si>
    <t xml:space="preserve">Surface in hectares of protected  forest water recharge and riparian zones </t>
  </si>
  <si>
    <t xml:space="preserve">Percentage of farm families in each micro-watershed implementing agro-ecological farm transformation plans. </t>
  </si>
  <si>
    <t>Number of farming families with agro-ecological farm transformation plans</t>
  </si>
  <si>
    <t>Area (ha) of agro-ecological transformation plans developed in farms</t>
  </si>
  <si>
    <t xml:space="preserve">Increase in percentage of land in each micro-watershed with vegetation coverage.  </t>
  </si>
  <si>
    <t>1005 Households</t>
  </si>
  <si>
    <t xml:space="preserve">Feed the AF and MARENA website; 4 annual reports and 12 quarterly reports. </t>
  </si>
  <si>
    <t>Construction of the Irrigation System in the Salale community.</t>
  </si>
  <si>
    <t>Awarded for meeting the requirements established in the terms of reference.</t>
  </si>
  <si>
    <t>For the best economic offer and for meeting the technical specifications.</t>
  </si>
  <si>
    <t>Meets the academic background and the requirement profile of the Terms of Reference.</t>
  </si>
  <si>
    <t>Awarded for having obtained the highest score, meeting the requirements established in the terms of reference for the consultancy.</t>
  </si>
  <si>
    <t>Complies with the academic background and requirement profile in the Terms of Reference.</t>
  </si>
  <si>
    <t>Support to the procurement processes</t>
  </si>
  <si>
    <t>Support to the Financial Administrative process</t>
  </si>
  <si>
    <t>Financial Accounting specialist</t>
  </si>
  <si>
    <t>Technical coordinator Estero Real Project</t>
  </si>
  <si>
    <t>Completion of the hydrological study in the second semester of 2013.</t>
  </si>
  <si>
    <t>Municipal Climate Change Adaptation Plans formulated and approved</t>
  </si>
  <si>
    <t xml:space="preserve">Three Municipal Climate Change Adaptation Plans formulated for Achuapa, El Sauce and Villanueva, with specific strategic lines for each municipality.
The plans were approved by the Honorable Municipal Council of each Municipality through a Certification. These plans are in the process of publication.
</t>
  </si>
  <si>
    <t>Eight electronic information posts working</t>
  </si>
  <si>
    <t>(a) 1005 agroecological transformation plans completed and at least 50% of them in execution.
(b)Management plans for riparian and water recharge zones in execution.</t>
  </si>
  <si>
    <t>(a) Eight micro-watershed management committees working.
(b) Municipal adaptation plans for El Sauce, Achaupa and Villanueva formulated, approved and disseminated.</t>
  </si>
  <si>
    <t xml:space="preserve">Preparation of the micro-watershed Management Plans has not yet started. To date only the management committees have been formed.                               </t>
  </si>
  <si>
    <t xml:space="preserve">A total of 36%  of rain water collection structures built in communities of the municipalities of Achuapa, El Sauce and Villanueva.  Evaluation by the program beneficiaries is still pending to determine if the use of water is satisfactory. </t>
  </si>
  <si>
    <t>Number of water harvesting structures installed and working at the micro-watershed level</t>
  </si>
  <si>
    <t xml:space="preserve">The 920 plans formulated to date include the agroecological transformation of 2,059 ha, exceeding the goal expected at the end of the project.                                                             </t>
  </si>
  <si>
    <t xml:space="preserve">A total of 690ha in riparian areas and 4,107ha of forest water recharge zones in the 8 targeted micro-watersheds. In addition to the management of the natural regeneration, there is no burning-off of scrub and they have been fenced with barbed wire protecting them from animals and other intruders. For this, the farm families have been provided with wire, staples, plants for forest enrichment, as well as technical assistance and training.                                            .
</t>
  </si>
  <si>
    <t>Number of families that benefit with home and patio investments through the Farm Transformation Plans (PTAF).</t>
  </si>
  <si>
    <t xml:space="preserve">Eight  micro-watershed committees formed in Achuapa (2); El Sauce (3) and Villanueva (3). The committees were formed through 24 community meetings and are duly registered in the National Registry for Water Rights (RPNDA), being legally constituted to begin functions. These activities were carried out in close coordination with the National Water Authority (ANA).                                   </t>
  </si>
  <si>
    <t>Hiring Warehouse Personnel Services for the Municipalities of El Sauce, Achuapa and Villanueva</t>
  </si>
  <si>
    <t>Technical Assistance for Water Harvesting structures</t>
  </si>
  <si>
    <t>Construction of complementary structures in Las Mercedes communal Irrigation System</t>
  </si>
  <si>
    <t>Awarded for having achieved the highest score, meeting the requirements established in the terms of reference for the consultancy.</t>
  </si>
  <si>
    <t>Technical Assistance to formulate, make official and follow-up on collaboration agreements in the framework of Program Components 1, 3 and 4.</t>
  </si>
  <si>
    <t>Awarded for having obtained the highest score, meeting all the requirements established in the terms of reference for the consultancy.</t>
  </si>
  <si>
    <t>Three security guards, one for each Municipality of El Sauce, Achuapa and Villanueva.</t>
  </si>
  <si>
    <t>Awarded for having met the requirements established in the Terms of Reference.</t>
  </si>
  <si>
    <t>The farm families do not understand the importance and/or possibility of responding and planning for climate change risks.</t>
  </si>
  <si>
    <t xml:space="preserve">1.  Construction of two communal irrigation systems in the communities of Las Mercedes and Salale in the municipality of El Sauce, benefitting 100 families, guaranteeing at least one harvest a year.  In the irrigation system of Las Mercedes we already have 46 farm families getting 3 corn harvests a year in 37 ha, with an average yield of 25qq/ha, thus guaranteeing food security for their families. In 2013, together with INTA and MAGFOR they will receive seeds and technical assistance to plant other more productive crops (vegetables).                                
</t>
  </si>
  <si>
    <t xml:space="preserve">3. A total of 402 families have received material for building improved stoves in: Villanueva (152), and Achuapa (250).  Material has been distributed to 204 families to build chicken coops in: Achuapa (172), and Villanueva (32) and materials for pigpens to 72 families in: Achuapa (44) and Villanueva (28). </t>
  </si>
  <si>
    <t xml:space="preserve">A hydrological study of the lower watershed of the Villanueva River, identifying hydraulic structures required to reduce floods caused by sediment from the high basin.                         </t>
  </si>
  <si>
    <t xml:space="preserve">Construction of the communal irrigation systems completed in Las Mercedes and Salale.
</t>
  </si>
  <si>
    <t xml:space="preserve">Identification process and prioritization of riparian and water recharge zones completed in the program's eight targeted micro-watersheds. </t>
  </si>
  <si>
    <t xml:space="preserve">Study of threats due to floods in the urban area of Villanueva and adjacent towns formulated in 2012.                              This study forms part of the hydrogeological study that is being carried out in the high, middle and low part of the Villanueva Riber sub watershed, which will allow the people of the community to know the status of degradation of the watershed and identify required environmental restoration measures. All this process is taking place by segments, in the framework of the collaboration agreement between the Ministry of the Environment and Natural Resources and the Nicaraguan Institute of Territorial Studies.                                     </t>
  </si>
  <si>
    <t>A total of 920 agroecological farm transformation plans have been formulated (PTAF), equivalent to 91.54% progress, with 85 plans still pending to be formulated which will be ready by the end of 2013.  
The elaborated plans are: 
In Achuapa: 375 plans
El Sauce: 270 plans 
In Villanueva: 275 plans</t>
  </si>
  <si>
    <t>A total of 690ha of riparian areas and 4,107 ha of forest water recharge zones have been identified in the eight targeted micro-watersheds. For their protection, the farm families have been provided with wire, staples and plants to enrich the forest, as well as assistance and training.</t>
  </si>
  <si>
    <t>(a) Hydrogeological study of the Villanueva River watershed completed.
(b) The electronic information posts are working and have generated at least 4 news bulletins.</t>
  </si>
  <si>
    <t xml:space="preserve">(a) Eight micro-watershed committees formed in Achuapa (2); El Sauce (3) and Villanueva (3). The committees were formed through 24 Community Meetings and they are duly registered in the National Registry of Water Rights (RPNDA), being legally constituted to start their  functions. These activities were carried out in close coordination with the National Water Authority (ANA).
(b) The municipalities of Achuapa, El Sauce and Villanueva each have their Municipal Climate Change Adaptation Plan. The plans were designed through 18 workshops with the participation of different sectors and have been approved by the respective Municipal Councils. Publication and dissemination of the plans is still pending.
</t>
  </si>
  <si>
    <t xml:space="preserve">The Ministry of the Environment and Natural Resources (MARENA) together with the Nicaraguan Institute of Territorial Studies (INETER) signed a Collaboration Agreement to carry out a hydrogeological study for the high, middle and low part of the Villanueva River sub watershed that will allow the people in the community to know the status of degradation of the watershed and environmental restoration measures. At the end of 2012, as part of the study, a threat analysis of floods in the urban area of Villanueva and adjacent towns was carried out. The studies continue to be carried out during this period.                                                          </t>
  </si>
  <si>
    <t xml:space="preserve">A total of 920  farm families have Agroecological Transformation Plans for their farms, which represents 91.54% of the 1005 beneficiary farm families. Of these plans, 840 are already starting the implementation phase.                  </t>
  </si>
  <si>
    <t xml:space="preserve">A total of 100 families who benefit from the two communal irrigation systems in the micro-watershed of Las Mercedes (68 families) and the micro-watershed of Salale (32 families) of the municipality of El Sauce have at least one annual harvest guaranteed which represents 137.64% according to the expected goal at the end of the project which was 90%.                               </t>
  </si>
  <si>
    <t xml:space="preserve">In the micro-watershed of Las Mercedes, 56ha were irrigated without the project, and with the project it has been possible to add 18ha for a total of 74ha under irrigation (with an average of 2 harvests per year in 2013).  As of 2014, the expectation is to cover a total of 130 ha with the new irrigation system.                                      
In the case of the Salale micro-watershed, the results will be seen in the summer months of 2013 and 2014; the expectation is to go from irrigating 11ha by the traditional method to 40 ha with the new system.   
</t>
  </si>
  <si>
    <t xml:space="preserve">A total of  316 rain water collection and storage structures built in communities in the municipalities of Achuapa, El Sauce and Villanueva, benefitting an equal number of families.  The structures are distributed as follows:                                                 
Achuapa: 17 pools, 72 troughs, 24 cisterns, 38 drinking troughs and 6 dams, in the communities of San Nicolás, Lagartillo, Las Brisas, San Antonio, Varela, El Waylo, Guanacaste, Las Lajas, Rio Arriba, Las Tablas and Rodeíto.
Villanueva: 24 pools, 43 troughs, 47 cisterns and 21 drinking troughs in the communities of Los Genízaros, Los Tololos and San Ramón.
El Sauce: 24 pools in the communities of Petaquilla, Campamento and Nacascolo Norte.
</t>
  </si>
  <si>
    <t xml:space="preserve"> A total of 91.54% of Agroecological Farm Transformation Plans formulated in communities of the municipalities of Achuapa, El Sauce and Villanueva, detailed as follows:                                          
a) 91.46% of the total agroecological farm transformation plans delivered, belonging to 12 communities of the municipality of Achuapa; started implementation in 2012.
b) 98% of the total agroecological farm transformation plans delivered, belonging to 6 communities of the municipality of Villanueva; started implementation in 2012.
c) 81.92% of the total agroecological farm transformation plans delivered, belonging to 11 communities of the municipality of El Sauce; started implementation in 2013.
</t>
  </si>
  <si>
    <t>The goal has been surpassed from 100% to 172.5%.</t>
  </si>
  <si>
    <t xml:space="preserve">In the municipality of Achuapa, supplies have been delivered for the construction of 250 improved stoves, 172 chicken coops and 45 pigpens, benefitting a total of 467 families.  To date 15 stoves have been built in the community of Las Tablas, benefitting an equal number of families.                                                           
In the municipality of Villanueva, supplies have been delivered for the construction of 152 improved stoves, 32 chicken coops and 28 pigpens, benefitting a total of 212 families.  To date 30 stoves have been built in the communities of San Ramon, Los Genízaros, Los Tololos and El Tule, benefitting an equal number of families.
</t>
  </si>
  <si>
    <t xml:space="preserve">Based on the official methodology of the Ministry of the Environment and Natural Resources for the formulation of the Municipal Climate Change Plans, 18 workshops were held in the municipalities of Achuapa, El Sauce and Villanueva to collect information that allows the population to know the situation and effects caused by climate change and identify climate change adaptation measures in these municipalities.                                                               
These plans were approved by the three Mayor's Offices: El Sauce in 2012, and Achuapa and Villanueva in 2013. These plans were already revised by the MARENA General Planning Division for their reproduction and dissemination.
</t>
  </si>
  <si>
    <t xml:space="preserve">The study of threats due to floods in the urban area of Villanueva and adjacent towns formulated in 2012. This study forms part of the hydrogeological study that will be carried out in the high, middle and low part of the Villanueva River sub watershed, which will allow the community members to know the status of degradation of the sub watershed and identify environmental restoration measures. All this process was made operational in the framework of a collaboration agreement between the Ministry of the Environment and Natural Resources and the Nicaraguan Institute of Territorial Studies.                                                 
</t>
  </si>
  <si>
    <t>The Project's progress and achievements has been disseminated through several instruments:
- Nicaragua: Promoting climate resilient Communities. UNDP Climate Change Adaptation News Bulletin, 12th edition (March 2013).
- Government promotes construction of Eco- friendly stoves. Online Environmental News Bulletin, MARENA, 33d Edition (January 2013).
- Nicaragua works toward reducing risks and vulnerabilities due to floods and droughts in the Western part of the country. Online Environmental News Bulletin, MARENA, 35th Edition (March 2013).
The Project's website is still under construction.
The Project has generated regular, periodic progress reports regarding the project's physical and financial execution.</t>
  </si>
  <si>
    <t xml:space="preserve">1. The dams allow production of up to 4 harvests in one same area integrating the efforts of all the community members.                         
2. The agroecological farm transformation plans allow the beneficiary families to direct their efforts and resources to develop their farms with a vision of productive diversification, increasing production and adequate management of natural resources with a gender and generational based approach.                        
3. The shared responsibility and family, community and life cabinets model has facilitated community organization in the micro-watershed committees.   
4. The electronic information posts installed in the micro-watersheds allow generating key information used in the community development processes of each micro-watershed.
5. The news bulletin of watershed 60 has allowed uniting and disseminating the project's progress, disseminating the experiences of each micro-watershed.
</t>
  </si>
  <si>
    <t xml:space="preserve">Construction of Las Mercedes communal irrigation system was completed in October 2012, benefitting 68 families. Construction of the Salale communal irrigation system will be completed in July 2013 and will benefit 32 families.                                    
In Las Mercedes irrigation system we have 46 farm families getting three corn harvests a year in 37 ha, producing an average of 25qq/ha, thus guaranteeing food security for their families.
For 2013, work is being done with INTA, MAGFOR, and MEFCA to  offer technical assistance and offer seed for more profitable crops and diversify the farms. 
</t>
  </si>
  <si>
    <t xml:space="preserve">The only output that has suffered some delay in this period is the Hydrological Study.  In the framework of a Collaboration Agreement between the Ministry of the Environment and Natural Resources and the Nicaraguan Institute of Territorial Studies (INETER), the first study was formulated in December 2012 on threats based on floods in the urban area of Villanueva and adjacent towns, which was presented to the local municipal governments, government institutions and the Community, Health and Life Cabinet by INETER.  By the end of 2013, the last study on threats is expected to be received in the framework of  Addendum No. 1 (No. 371-13) collaboration agreement between the Ministry of the Environment and Natural Resources (MARENA) and the Nicaraguan Institute of Territorial Studies (INETER), signed May 14, 2013.                     </t>
  </si>
  <si>
    <t>During the 2012-2013 period there weren't any natural events with negative impact on the execution of activities developed by the project.</t>
  </si>
  <si>
    <t xml:space="preserve">To mitigate the effect of the limited access to credit and that this can limit adopting new technologies, the project  has been promoting adaptative productive systems, that allow using ecologically sound productive technologies that increase and diversify production.
The adaptative productive systems take into account the comparative advantages of the farms, driving large scale production for internal consumption (national market) while protecting the natural resources.  To achieve this goal, the project facilitates production means, technical assistance and training in order to support the farm families in overcoming their poverty status and restore the productive potential. Additionally, these systems allow to better face climate change and its consequences.
To address this risk in the Villanueva River sub watershed during 2012 to 2013, 920 families have benefitted in 29 rural communities of the 8 priority micro watersheds in the municipalities of Achuapa, El Sauce and Villanueva.  The use and management of water has been more effective and adaptative productive systems have been established to face climate change, guaranteeing food security and improving their income and quality of life.
For this the following has been done:
</t>
  </si>
  <si>
    <t xml:space="preserve">In this period two important changes are reported:
The first is regarding the project's targeted communities; when the interventions started in the territory, the territorial boundaries were confirmed in the targeted area, identifying that the communities of El Moto and La Concha were outside the boundaries, replacing them with the communities of Los Chupaderos, El Tule and Las Pilas, for a total of 29 communities to be benefitted by this project.                                              
The second change is regarding the Project Logical Framework which was revised and an indicator was incorporated related to the Gender theme: Number of families benefitted with home and patio investments through the Farm Transformation Plans (PTAF). This indicator is already reported on the  Project Indicator tab of the present PPR.
</t>
  </si>
  <si>
    <t>What measures are/have been put in place to ensure sustainability of the project/project results?</t>
  </si>
  <si>
    <t>What measures are being/could have been put in place to improve project/project results?</t>
  </si>
  <si>
    <t xml:space="preserve">MARENA, through two and a half years of Program implementation, has made substantial progress with the construction of the two large communal irrigation systems, benefitting 100 families of the Salale and Las Mercedes micro-watersheds.  These systems have achieved an irrigation capacity of 170 ha during the summer, which has guaranteed food security, improvement in the quality of life of the people who live there and in their family income.                   
A total of 690 ha of riparian areas and 4,107 ha of forest water recharge zones have been protected and conserved in the eight targeted micro-watersheds.                 
In Achuapa, El Sauce and Villanueva, 920 agroecological farm transformation plans have been formulated; this instrument arranges the farms of the families benefitted by the Program.  Likewise, actions aimed at benefitting women are being implemented through investments for patio productive activities (improved stoves, chicken coops and pigpens).                 
Three Municipal Climate Change Adaptation Plans have been formulated to be implemented in the municipalities of Achuapa, El Sauce and Villanueva.  A Demarcation Study of Riparian and Water Recharge Zones, Study of threats based on floods in the urban area of Villanueva and adjacent towns and three program News Bulletins published in the MARENA website.                
Eight micro-watershed committees have been formed in coordination with ANA, UAM and Municipal Environmental Units of the three Municipalities.  These committees are duly registered in the National Registry of Water Rights (RPNDA), being legally constituted to start their functions regarding the water resource.
Maps and georeferencing data of the farms with agroecological transformation plans have been generated in the eight micro-watersheds.
The Program has made substantial progress in the execution of all its components, achieving this in coordination with the municipal governments, government institutions, Family, Health and Life Cabinets,  ONGs and the active participation of the Program's beneficiaries.                          
</t>
  </si>
  <si>
    <t>Structures for the communal irrigation systems completed and rain water collection and storage structures being built to supply water to family farms in 8 micro-watersheds.</t>
  </si>
  <si>
    <t xml:space="preserve">(a) A total of 920 Agroecological Farm Transformation Plans have been formulated and delivered to the beneficiaries. Of these, 840 are being implemented, starting with the delivery of supplies and plants.  When the agroecological transformation plan is delivered, the beneficiaries sign a Solidarity Agreement with the Ministry of the Environment, whereby they commit to implement the plan they have formulated together with the AF Project's technicians.  The farms have been georeferenced.                                                     
The plans also include investments for special productive activities to be carried out by women, in their patios, such as the construction of chicken coops, pigpens or improved stoves.                                            
(b) A total of 690 ha of riparian areas have been identified and 4,107 ha of forest water recharge zones in the eight targeted micro-watersheds.  Protection actions for these have been incorporated in the agroecological farm transformation plans and the farm families have received supplies, plants, technical assistance and training to implement concrete forest management actions. 
</t>
  </si>
  <si>
    <t>8: Water body based operational program</t>
  </si>
  <si>
    <t>Specialist in Adaptative, forest, agroforestry and silvopastoral systems.</t>
  </si>
  <si>
    <t>Technical assistance to formulate, make official and follow-up on collaboration agreements in the framework of program component 2.</t>
  </si>
  <si>
    <t>To respond to Climate Change risks, the farm families are implementing agroecological transformation plans in their farms, developing a process of change toward a more resilient productive model that responds to extreme events, starting with community organization.  
Through the Family, Community and Life Cabinet, a new partnership model is created with the Extended and Production Cabinets, retaking the national plans for their implementation (Action Plan for Drought, Climate Change Strategy and National Sovereignty and Food Security Plan). 
The project strengthens the capacities of the people living in the Villanueva River sub watershed preparing them to better face and reduce the risks due to climate change.  Fifty six community meetings have been held, 55 training workshops, 2 Municipal Environmental Fairs and 4 days of experience interchange on water catchment works and adaptative productive practices to create awareness in families regarding the threats of climate change, the importance of participating in the project and the need to apply adaptation measures in their farms.  A total of 4,559 people participated in these events, of which 1,377 were women.  The trained families have been very receptive to responding to the effects of climate change.</t>
  </si>
  <si>
    <t>2.  The establishment and implementation of 920 Agroecological Farm Transformation Plans have been started. The beneficiaries have received supplies and plants in the municipalities of Achuapa (1,423 rolls of wire, 2,154 lb. of staples and 30,521 forest plants, native fruit plants, grafts and  forage); El Sauce (1,874 rolls of wire, 3,748 lb. staples, and 30,813 plants between forest, native fruits, grafts and forage), and Villanueva (1,808 rolls of wire, 3,616 lb. of staples and 28,805 plants between forest, native fruits, grafts and forage). The plans delivered to the farm families have allowed them to own, use and manage them allowing the farm families to have an integral strategic vision of the management and development of their farm.</t>
  </si>
  <si>
    <t xml:space="preserve">To date the project promotes the process of creating 8 watershed management committees, incorporating the national and local stakeholders by signing institutional agreements to work in the Estero Real River watershed (MARENA-INETER), (MARENA-ANA), (MARENA-UNAN - Leon), (MARENA-MAGFOR) and (MARENA- Municipalities of El Sauce, Achuapa and Villaueva).
To form the Micro Watershed Committees, 24 community meetings were held to explain how they should be formed, functions, duties and rights the committees should have, based on Law 620 in Art. 35, chapter IV. These are duly registered in the National Registry of Water Rights (RPNDA), being legally constituted to start their functions regarding the water resource.             
The formulation of three (3) Municipal Climate Change Adaptation Plans was accomplished (Achuapa, El Sauce and Villanueva) through 18 workshops with the participation of local stakeholders of different sectors:
- Producer organizations: National Union of Farmers and Ranchers (UNAG), Union of Agricultural Cooperatives of El Sauce (UCASA), Juan Francisco Paz Silva Producers Cooperative of the Municipality of Achuapa.
- Government Institutions: Ministry of Health (MINSA), Ministry of Education (MED), National Police, Nicaraguan Institute of Agricultural Technology (INTA), Ministry of Agriculture and Forestry (MAGFOR), Ministry of the Family.
-Civil Society Organizations: Young Environmentalist Guardabarranco Movement, Cabinets of Citizen Power of Achuapa, El Sauce and Villanueva and the Municipality associations of Chinandega Norte and Leon Norte. 
</t>
  </si>
  <si>
    <t>Project actions/activities planned for current reporting period are progressing on track or exceeding expectations to achieve all  major objectives/outcomes for given reporting period, without major shortcomings. The project can be presented as “good practice”.</t>
  </si>
  <si>
    <t xml:space="preserve">The construction of 2 communal irrigation systems to supply water to 85 farming families in 2 micro watersheds, which increases the availability of water for small scale domestic and productive use and reduces the risk of water stress and drought.                     </t>
  </si>
  <si>
    <t>A total of 316 rain water collection and storage structures built in the municipalities of Achuapa, El Sauce and Villanueva, benefitting an equal number of families:
Achuapa: 17 pools, 72 troughs, 24 cisterns, 38 drinking troughs and 6 dams; in the communities of San Nicolas, Lagartillo, Las Brisas, San Antonio, Varela, El Waylo, Guanacaste, Las Lajas, Rio Arriba, Las Tablas and Rodeito.
Villanueva: 24 pools; 43 troughs, 47 cisterns, and 21 drinking troughs; in the communities of Los Genízaros, Los Tololos and San Ramón.
El Sauce: 24 pools, in the communities of Petaquilla, Campamento and Nacascolo Norte.
The use of the structures will be monitored through follow-up visits, certificates of satisfactory delivery and surveys to know their use and benefit, additionally reflecting the amount of water collected.</t>
  </si>
  <si>
    <t xml:space="preserve">Two awareness campaigns have been carried out for the communities in the three targeted municipalities, through meetings with the participation of students, Municipal Environmental Units, Civil Defense, Nicaraguan Army, MARENA Department Delegates, Local Disaster Management Committees (COMUPRED) and the general population. 
In 2012, 3000 people in the area targeted by the program in the 3 municipalities benefitted from this campaign; dissemination was carried out through radio commercials and hot spots were monitored                  
In 2013, 7 brigades of 10 members each, one per micro-watershed, were trained and certified and hot spots were monitored,
</t>
  </si>
  <si>
    <t>Support households and farmers in 3 municipalities to cope with climate change impacts by developing 3 tailored municipal climate change adaptation plans in the municipalities of Villanueva, El Sauce and Achuapa.</t>
  </si>
  <si>
    <t xml:space="preserve">There are 8 electronic posts working, one in each micro-watershed, to gather baseline information on the environmental and productive indicators of each of the micro watershed communities. Three newsletters have been elaborated with the information gathered.                              
</t>
  </si>
  <si>
    <t>Please Provide the Name and Contact information of person(s) responsible for completing the Rating section</t>
  </si>
  <si>
    <t xml:space="preserve">The construction of the two communal irrigation systems in Las Mercedes and Salale was completed, benefitting more than 100 farm families.
Las Mercedes irrigation system was completed in October 2012 and has been working since then, allowing 68 farm families who benefit from this system to already be harvesting corn.
In addition, 316 rain water collection and storage structures built in the municipalities of Achuapa, El Sauce and Villanueva, benefitting an equal number of families.
</t>
  </si>
  <si>
    <r>
      <rPr>
        <b/>
        <sz val="11"/>
        <color indexed="8"/>
        <rFont val="Times New Roman"/>
        <family val="1"/>
      </rPr>
      <t xml:space="preserve">Component 3:
</t>
    </r>
    <r>
      <rPr>
        <sz val="11"/>
        <color indexed="8"/>
        <rFont val="Times New Roman"/>
        <family val="1"/>
      </rPr>
      <t>Institutional development and capacity building in micro-watersheds, municipalities, and participating national institutions</t>
    </r>
  </si>
  <si>
    <r>
      <rPr>
        <b/>
        <sz val="11"/>
        <color indexed="8"/>
        <rFont val="Times New Roman"/>
        <family val="1"/>
      </rPr>
      <t xml:space="preserve">Component 4:
</t>
    </r>
    <r>
      <rPr>
        <sz val="11"/>
        <color indexed="8"/>
        <rFont val="Times New Roman"/>
        <family val="1"/>
      </rPr>
      <t>Ongoing monitoring and analysis of climatic conditions and changes in land use, water flows and soil quality</t>
    </r>
  </si>
  <si>
    <t>Outcome Indicator</t>
  </si>
  <si>
    <t>Project Indicator</t>
  </si>
  <si>
    <r>
      <t>The communal irrigation system in the micro-watershed of Las Mercedes is formed by two components: 1) Construction of a water intake structure in Mercedes Centro, which carries 30lt/sec for irrigation by sprinklers, benefitting 35 farm families. A 25mt</t>
    </r>
    <r>
      <rPr>
        <vertAlign val="superscript"/>
        <sz val="11"/>
        <rFont val="Times New Roman"/>
        <family val="1"/>
      </rPr>
      <t xml:space="preserve">3 </t>
    </r>
    <r>
      <rPr>
        <sz val="11"/>
        <rFont val="Times New Roman"/>
        <family val="1"/>
      </rPr>
      <t>tank is filled from this intake for the cattle area benefitting 17 farm families and the washing zone, benefitting 22 laundresses. 2) The collection system of the Ismael Castillo Cooperative carries 50lt/sec.  This water will be used to irrigate by flooding through channels, benefitting 11 farm families.                                        
Additionally, a dam was built for the Salale communal irrigation system with its respective intake which has a capacity to carry 30lt/sec; this system will directly benefit 32 farm families.</t>
    </r>
  </si>
  <si>
    <t xml:space="preserve">A total of 920 agroecological farm transformation plans (PTAF) have been formulated, equivalent to 91.54% of the total programmed, distributed as follows:  
In Achuapa: 375 plans
El Sauce: 270 plans 
In Villanueva: 275 plans
</t>
  </si>
  <si>
    <t>The  agroecological transformation plans also include investments in special productive activities to be carried out by women, in their patios, such as construction of chicken coops, pigpens and/or improved stoves. 
In the municipality of Achuapa supplies have been delivered for the construction of 250 improved stoves, 172 chicken coops and 45 pigpens, benefitting a total of 467 families.  To date 15 improved stoves have been built in the community of Las Tablas, benefitting an equal number of families.
In the municipality of Villanueva supplies have been delivered for the construction of 152 improved stoves, 32 chicken coops and 28 pigpens, benefitting a total of 212 families.  To date 30 improves stoves have been built in the communities of San Ramón, Los Genízaros, Los Tololos and El Tule, benefitting an equal number of families.
Additionally, an gender indicator was incorporated, which is already reported in the project indicator tab.</t>
  </si>
  <si>
    <t>Climate Resilient Measures</t>
  </si>
  <si>
    <t>Which of these measures has been most effective and why?</t>
  </si>
  <si>
    <t>Concrete Adaptation Interventions</t>
  </si>
  <si>
    <t>Please describe the concrete adaptation measures being undertaken by the project/projectme</t>
  </si>
  <si>
    <t>Please Describe the Climate Resilient measures being undertaken by  the project/project.</t>
  </si>
  <si>
    <t>New indicator:
MARENA, based on its Gender Policy, identified the need to measure gender-related activities and decided to develop a new indicator which is now included in the logframe.</t>
  </si>
  <si>
    <t xml:space="preserve">During its second year of implementation important progress has been made toward achieving the Project's objectives.                         
MARENA, with AF funds, has completed construction of two communal irrigation systems that will increase water availability for domestic and productive use, benefitting 68 farm families of Las Mercedes micro-watershed and 32 farm families of the Salale micro-watershed.                              
A total of 1005 families will benefit with agroecological farm transformation plans to introduce silvopastoral systems, of which 920 have already been formulated and delivered to the farm families and 840 are in the implementation process.  
To strengthen the population's capacity to prepare for climate change effects, Municipal Climate Change Adaptation Plans have been formulated for the municipalities of Achuapa, El Sauce and Villanueva through a wide participatory process of consultation and consensus with different sectors.                                    
Additionally,  8 Micro-watershed Committees were formed, which are duly registered in the National Registry of Water Rights (RPNDA), being legally constituted to start their functions in the management of the water resource.      
Technical assistance has been guaranteed for the implementation of the eight electronic information posts, for the purpose of collecting baseline information on the indicators of the selected micro-watersheds. The information nodes' main function is to feed the National Environmental Information System (SINIA) to develop the geo-referenced information that will be used for the local stakeholders as a monitoring tool for the activities carried out by MARENA in El Sauce, Achuapa, and Villanueva. These posts have produced 3 news bulletins.                
The total disbursement since the beginning of the project until June 2013 has been USD$2,142,787 (42.3% of the project's total amount ).             
It is estimated that by the end of 2013 implementation rate will keep steady and the total cumulative expenditure will represent more than 50% of the project's total budget.
</t>
  </si>
  <si>
    <r>
      <t>Estimated cumulative total disbursement as of</t>
    </r>
    <r>
      <rPr>
        <b/>
        <sz val="11"/>
        <color indexed="10"/>
        <rFont val="Times New Roman"/>
        <family val="1"/>
      </rPr>
      <t xml:space="preserve"> JUNE, 2013</t>
    </r>
  </si>
  <si>
    <t>July, 2013</t>
  </si>
  <si>
    <t xml:space="preserve">Operations Manual for the Project Reduction of Risks and Vulnerability based on flooding and droughts in the watershed of the Estero Real River; 
Methodological Guidelines to Formulate Agroecological Farm Transformation Plans; 
Monthly Follow-up Reports from MARENA and Quarterly Reports from UNPD; 
Yearly Management Report: 2011, 2012 and first semester 2013 (Government), News Bulletins in 2013: April, May and June; 
Demarcation Study of Riparian and Water Recharge Zones;
Three Municipal Climate Change Adaptation Plans;
Study of threats based on floods in the urban area of Villanueva and neighboring towns; 
8 Riparian Zone signs, 8 signs for the Salale and Las Mercedes Irrigation Systems, 100 signs for forest protection areas, 500 decals to disseminate information on the rainwater catchment work carried out in the 8 targeted micro watersheds;
Maps of 8 micro watersheds regarding changes in land use, monitoring of hot spots, risk analysis, irrigation systems, investment system, database on gender situation.
</t>
  </si>
  <si>
    <t>ITEM / ACTIVITY / ACTION/OUTCOME</t>
  </si>
  <si>
    <t>OUTPUT</t>
  </si>
  <si>
    <t>1.1 Two communal irrigation systmes supply famliy farms in two micro-watersheds.</t>
  </si>
  <si>
    <t>1.2 At least 880 rainwater collection and storage facilities supply familiy farms in eight micro-watersheds.</t>
  </si>
  <si>
    <t>1.3 At least 1000 farm families organized and trained in management, efficient use and maintenance of their communal and inidvidual irrigation systems and water storage facilities.</t>
  </si>
  <si>
    <t>2.1 At least 1000 farm families with agro-ecological farme transformation plans and using their own resources and available credito for their ongoing implementation.</t>
  </si>
  <si>
    <t>2.2 At least 140 hectares converted to water-conscious and climate resilient agro-ecological production in each micro-watershed.</t>
  </si>
  <si>
    <t>2.3 At least 50 protected hectares in water system recharge areas and riparian zones in each micro-watershed.</t>
  </si>
  <si>
    <t>Total Outcome 1</t>
  </si>
  <si>
    <t>Total Outcome 2</t>
  </si>
  <si>
    <t>3.1 Local organiztions in eight micro-watersheds prepare and implement climate resilient management plans to increase water retention, soil conservation and food security.</t>
  </si>
  <si>
    <t>3.2 inter-institutional coordinating bodies in El Sauce, Achuaga and Villanueva coordinate governmental and non-governmental agency work plans in the micro-watershed in the Villanueva River basin.</t>
  </si>
  <si>
    <t>3.3 Validated proposal for normative instrumentos to build climate change resilience and for the operation of a Villanueva River sub-watershed committee</t>
  </si>
  <si>
    <t>3.4 Nice municipalities in the Estero Real River basin incorporate climate change adaptation measures in their land use, investment and water use plans and related normative instruments.</t>
  </si>
  <si>
    <t>Total Outcome 3</t>
  </si>
  <si>
    <t>4.1 A hydrological study of the lower part of the Villanueva River basin, identifying the hydraulic works needed to redulce the flooding caused by sediments from the upper watershed.</t>
  </si>
  <si>
    <t>4.2 Ongoing participatory monitoring of water flows and quality, soil conditions, and land use changes.</t>
  </si>
  <si>
    <t>4.3 Electronic information posts in each targeted micro-watershed present relevant national and global climate information, digitalize local monitoring data, and preprae maps of land use, waer flow and soil quality changes for farm families, local organizations and users of the National Environmental Information System (SINIA).</t>
  </si>
  <si>
    <t>Total Outcome 4</t>
  </si>
  <si>
    <t>ITEM / ACTIVITY / ACTION/ OUTCOME</t>
  </si>
  <si>
    <t>Please provide information for all contracts over $2,500 USD</t>
  </si>
  <si>
    <t>Please provide the number of  contracts under $2,500, signed during this reporting period:</t>
  </si>
  <si>
    <t>La adjudicacion se hizo parcial, tomando como criterio de selección el Precio unitario de cada item. For the best economic offer and for meeting the technical specifications.</t>
  </si>
  <si>
    <t>Se realizo adjudicacion parcializada de estos materiales por menor precio unitario y calidad, adjudicandose unicamente cierta cantidad d emateriales debido a que las ofertas excedian el monto presupuestado.</t>
  </si>
  <si>
    <t>Adjudicacion parcial debido a que los oferentes cumplen con las especificaciones tecnicas solicitadas, presentan oferta economicamente mas favorables tomando como referencia precios unitarios, asi mismo todos incluyen el transporte de los materiales.</t>
  </si>
  <si>
    <t>Presento oferta completa con todos los items solicitados, cumple con las especificaciones tecnicas solicitadas y oferta economicamente mas favorable.</t>
  </si>
  <si>
    <t>Por cumplir con la formacion academica, experiencia laboral y el plan de trabajo propuesto de acuerdo a los terminos de referencia para llevar a cabo la consultoria. For the best economic offer and for meeting the technical specifications.</t>
  </si>
  <si>
    <t>Purchase of supplies for construction of 51 water catchment works in El Sauce</t>
  </si>
  <si>
    <t>Purchase of supplies for construction of 40 water catchment and storage works in El Cacao micro watershed, Achuapa</t>
  </si>
  <si>
    <t>Purchase of supplies for construction of 24 water catchment and storage works in El Coyolar micro watershed, Achuapa</t>
  </si>
  <si>
    <t>Purchase of supplies for construction of 60 water catchment and storage works in El Coyolar micro watershed, Achuapa</t>
  </si>
  <si>
    <t>Purchase of supplies for construction of 50 water catchment and storage works in Villanueva</t>
  </si>
  <si>
    <t>Purchase of supplies for construction of 30 water catchment and storage works in Villanueva</t>
  </si>
  <si>
    <t>2nd purchase of supplies for the construction of 162 water catchment and storage works in the micro watersheds of Achuapa, El Sauce and Villanueva.</t>
  </si>
  <si>
    <t>3rd purchase of supplies for the construction of 162 water catchment and storage works in the micro watersheds of Achuapa, El Sauce and Villanueva.</t>
  </si>
  <si>
    <t>1st purchase of supplies for the construction of 135 water catchment and storage in the micro watersheds of Achuapa, El Sauce and Villanueva.</t>
  </si>
  <si>
    <t>4th purchase of supplies for the construction of 162 water catchment and storage works in the micro watersheds of Achuapa, El Sauce and Villanueva.</t>
  </si>
  <si>
    <t>Supplies (plastic tanks and accessories) for pipes of water catchment systems (lagunetas).</t>
  </si>
  <si>
    <t>Service of 210 hrs (Tractor) for construction of 17 small lakes (lagunetas) in Achuapa.</t>
  </si>
  <si>
    <t>Service of 240 hours (tractor)for construction of 24 small lakes (lagunetas) in El Sauce and Villanueva.</t>
  </si>
  <si>
    <t>Design for the construction of the comunal irrigation system of Salale, El Sauce.</t>
  </si>
  <si>
    <t>Design and printing of manuals for the proper use and maintenance of irrigation systems and small works of capture and storage of water</t>
  </si>
  <si>
    <t xml:space="preserve">Construction of water capture and storage works (mason) </t>
  </si>
  <si>
    <t xml:space="preserve">Purchase of Seeds from basic grains, legumes, improved grasses and Californian worms </t>
  </si>
  <si>
    <t>1st purchase of native and grafted fruit trees, forest and forage and vegetative material</t>
  </si>
  <si>
    <t>2nd purchase of native and grafted fruit trees, forest and forage and vegetative material</t>
  </si>
  <si>
    <t xml:space="preserve">Purchase of 4,345 rolls of barbed wire and 92 QQ of staples for the protection of agroforestry, silvopastoral and forestry production systems, and patios. </t>
  </si>
  <si>
    <t>Purchase of basic grains and legumes seeds</t>
  </si>
  <si>
    <t>Purchase of barbed wire and staples.</t>
  </si>
  <si>
    <t>Purchase of native and grafted fruit trees, forest and forage and vegetative material</t>
  </si>
  <si>
    <t>Supplies for the construction of 250 stoves</t>
  </si>
  <si>
    <t>Supplies for the construction of 500 chicken coops.</t>
  </si>
  <si>
    <t>Supplies for the construction of 152 stoves.</t>
  </si>
  <si>
    <t>Supplies for the construction of 150 chicken coops.</t>
  </si>
  <si>
    <t>Limit setting and management plan for prioritized Water Recharge and Riparian Areas.</t>
  </si>
  <si>
    <t xml:space="preserve">Purchase of 3 PCs and software licenses. </t>
  </si>
  <si>
    <t>Office Supplies.</t>
  </si>
  <si>
    <t>Purchase of 16 tires</t>
  </si>
  <si>
    <t>Purchase of printers and copiers supplies.</t>
  </si>
  <si>
    <t>Vehicles repairs.</t>
  </si>
  <si>
    <t xml:space="preserve">Purchase of 1 Pc and 2 laptops. </t>
  </si>
  <si>
    <t>Partial awarding, for the best economic offer and for meeting the technical specifications.</t>
  </si>
  <si>
    <t>Purchase of supplies for the construction of 24 water catchment and storage works in micro watershed Varela, Achuapa</t>
  </si>
  <si>
    <t>Supplies for the construction of 152 stoves</t>
  </si>
  <si>
    <t>Service of advice for the self construction of 402 stoves.</t>
  </si>
  <si>
    <t>The award was partially made, taking in consideration the unit price of each item. In the same line, it was evaluated the availability and immediate delivery of seeds, given the times required and programming for the dry season.</t>
  </si>
  <si>
    <t>Awarded according to economic evaluation, taking as reference unit prices, offered amounts and immediate availability, as well as meeting technical specifications.</t>
  </si>
  <si>
    <t>Delivered best economic offer, with every requested item.  Meets technical specifications and more favorable economic offer.</t>
  </si>
  <si>
    <t>A total of 5 offers were received.  Just 2 were evaluated for their economic offer since obtained best results from technical evaluation.</t>
  </si>
  <si>
    <t>ONLY OFFER</t>
  </si>
  <si>
    <t>For the best economic offer and for meeting the technical specifications. The amount highlighted in yellow represents the actual total paid to the bidder since the process was partially awarded.</t>
  </si>
  <si>
    <t>Partially awarded. For the best economic offer and for meeting the technical specifications.  The amount highlighted in yellow represents the actual total paid to the bidder since the process was partially awarded.</t>
  </si>
  <si>
    <t>For the best economic offer and for meeting the technical specifications.  The amount highlighted in yellow represents the actual total paid to the bidder since the process was partially awarded.</t>
  </si>
  <si>
    <t>27 (below)</t>
  </si>
  <si>
    <t xml:space="preserve">*In January 2014 MARENA has formally requested the Steering Committee the no-objection to acquire two new trucks (total estimate USD$60,000). Project had budgeted the acquisition of one truck at the beginning of the project and has used two addition trucks from another GEF project. However, these two had reached their lifespan incurring in high maintenance/repair costs. As stated in a formal letter from MARENA, the new trucks will assure monitoring of community works 2 times a week as well as to transport beneficiaries to showcase their success stories to other departments and fairs.  UNDP is working with MARENA to carry out a due diligence and cost-benefit analysis to verify that the procurement of these trucks is an essential part of achieving the project outcomes. All this information will be provided to the Steering Committee to make a final decision. </t>
  </si>
  <si>
    <t>After having obtained the total results of the technical-economic evaluations, the supplier is awarded the contract because his economic offer adjusts to the Budget for contracting this work.</t>
  </si>
  <si>
    <t>Awarded to , at the moment of notification to , the product was not available.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</si>
</sst>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quot;\ #,##0_);\(&quot;C$&quot;\ #,##0\)"/>
    <numFmt numFmtId="165" formatCode="&quot;C$&quot;\ #,##0_);[Red]\(&quot;C$&quot;\ #,##0\)"/>
    <numFmt numFmtId="166" formatCode="&quot;C$&quot;\ #,##0.00_);\(&quot;C$&quot;\ #,##0.00\)"/>
    <numFmt numFmtId="167" formatCode="&quot;C$&quot;\ #,##0.00_);[Red]\(&quot;C$&quot;\ #,##0.00\)"/>
    <numFmt numFmtId="168" formatCode="_(&quot;C$&quot;\ * #,##0_);_(&quot;C$&quot;\ * \(#,##0\);_(&quot;C$&quot;\ * &quot;-&quot;_);_(@_)"/>
    <numFmt numFmtId="169" formatCode="_(&quot;C$&quot;\ * #,##0.00_);_(&quot;C$&quot;\ * \(#,##0.00\);_(&quot;C$&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m\-yyyy"/>
    <numFmt numFmtId="179" formatCode="#,##0.0"/>
    <numFmt numFmtId="180" formatCode="0.0"/>
    <numFmt numFmtId="181" formatCode="[$$-409]#,##0.00"/>
    <numFmt numFmtId="182" formatCode="[$$-540A]#,##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C$-4C0A]\ #,##0.0"/>
    <numFmt numFmtId="188" formatCode="&quot;Yes&quot;;&quot;Yes&quot;;&quot;No&quot;"/>
    <numFmt numFmtId="189" formatCode="&quot;True&quot;;&quot;True&quot;;&quot;False&quot;"/>
    <numFmt numFmtId="190" formatCode="&quot;On&quot;;&quot;On&quot;;&quot;Off&quot;"/>
    <numFmt numFmtId="191" formatCode="_(* #,##0.000_);_(* \(#,##0.000\);_(* &quot;-&quot;??_);_(@_)"/>
    <numFmt numFmtId="192" formatCode="_(* #,##0.0000_);_(* \(#,##0.0000\);_(* &quot;-&quot;??_);_(@_)"/>
    <numFmt numFmtId="193" formatCode="_(* #,##0.0_);_(* \(#,##0.0\);_(* &quot;-&quot;??_);_(@_)"/>
    <numFmt numFmtId="194" formatCode="_(* #,##0_);_(* \(#,##0\);_(* &quot;-&quot;??_);_(@_)"/>
  </numFmts>
  <fonts count="88">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b/>
      <sz val="10"/>
      <name val="Calibri"/>
      <family val="2"/>
    </font>
    <font>
      <sz val="10"/>
      <name val="Arial"/>
      <family val="2"/>
    </font>
    <font>
      <vertAlign val="superscript"/>
      <sz val="11"/>
      <name val="Times New Roman"/>
      <family val="1"/>
    </font>
    <font>
      <b/>
      <sz val="12"/>
      <name val="Times New Roman"/>
      <family val="1"/>
    </font>
    <font>
      <sz val="10"/>
      <color indexed="8"/>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sz val="11"/>
      <color indexed="30"/>
      <name val="Times New Roman"/>
      <family val="1"/>
    </font>
    <font>
      <b/>
      <sz val="11"/>
      <color indexed="9"/>
      <name val="Times New Roman"/>
      <family val="1"/>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sz val="11"/>
      <color rgb="FFFF0000"/>
      <name val="Times New Roman"/>
      <family val="1"/>
    </font>
    <font>
      <sz val="10"/>
      <color theme="1"/>
      <name val="Times New Roman"/>
      <family val="1"/>
    </font>
    <font>
      <sz val="10"/>
      <color rgb="FF000000"/>
      <name val="Times New Roman"/>
      <family val="1"/>
    </font>
    <font>
      <sz val="11"/>
      <color rgb="FF0070C0"/>
      <name val="Times New Roman"/>
      <family val="1"/>
    </font>
    <font>
      <i/>
      <sz val="11"/>
      <color theme="1"/>
      <name val="Times New Roman"/>
      <family val="1"/>
    </font>
    <font>
      <b/>
      <sz val="11"/>
      <color rgb="FFFFFFFF"/>
      <name val="Times New Roman"/>
      <family val="1"/>
    </font>
    <font>
      <b/>
      <sz val="14"/>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D8E4BC"/>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medium"/>
      <top style="medium"/>
      <bottom style="medium"/>
    </border>
    <border>
      <left style="medium"/>
      <right style="medium"/>
      <top/>
      <bottom style="thin"/>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medium"/>
      <right style="medium"/>
      <top style="thin"/>
      <bottom/>
    </border>
    <border>
      <left style="medium"/>
      <right style="thin"/>
      <top style="thin"/>
      <bottom/>
    </border>
    <border>
      <left style="medium"/>
      <right style="thin"/>
      <top style="medium"/>
      <bottom style="medium"/>
    </border>
    <border>
      <left style="medium"/>
      <right style="thin"/>
      <top style="medium"/>
      <bottom/>
    </border>
    <border>
      <left style="thin"/>
      <right style="medium"/>
      <top style="medium"/>
      <bottom/>
    </border>
    <border>
      <left style="thin"/>
      <right style="medium"/>
      <top style="medium"/>
      <bottom style="thin"/>
    </border>
    <border>
      <left/>
      <right style="medium"/>
      <top style="thin"/>
      <bottom style="thin"/>
    </border>
    <border>
      <left style="thin"/>
      <right style="thin"/>
      <top style="thin"/>
      <bottom style="thin"/>
    </border>
    <border>
      <left style="thin"/>
      <right/>
      <top style="thin"/>
      <bottom style="thin"/>
    </border>
    <border>
      <left/>
      <right/>
      <top style="thin"/>
      <bottom style="thin"/>
    </border>
    <border>
      <left style="thin"/>
      <right style="medium"/>
      <top style="thin"/>
      <bottom style="thin"/>
    </border>
    <border>
      <left style="thin"/>
      <right style="medium"/>
      <top style="thin"/>
      <bottom/>
    </border>
    <border>
      <left style="thin"/>
      <right/>
      <top style="thin"/>
      <bottom/>
    </border>
    <border>
      <left/>
      <right style="thin"/>
      <top style="thin"/>
      <bottom style="thin"/>
    </border>
    <border>
      <left style="medium"/>
      <right/>
      <top style="medium"/>
      <bottom style="medium"/>
    </border>
    <border>
      <left style="thin"/>
      <right style="medium"/>
      <top/>
      <bottom style="thin"/>
    </border>
    <border>
      <left style="medium"/>
      <right style="thin"/>
      <top/>
      <bottom style="thin"/>
    </border>
    <border>
      <left/>
      <right style="medium"/>
      <top style="thin"/>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border>
    <border>
      <left>
        <color indexed="63"/>
      </left>
      <right style="thin"/>
      <top style="thin"/>
      <bottom>
        <color indexed="63"/>
      </bottom>
    </border>
    <border>
      <left style="thin"/>
      <right style="thin"/>
      <top style="thin"/>
      <bottom/>
    </border>
    <border>
      <left style="medium"/>
      <right style="thin"/>
      <top style="medium"/>
      <bottom style="thin"/>
    </border>
    <border>
      <left style="medium"/>
      <right style="thin"/>
      <top>
        <color indexed="63"/>
      </top>
      <bottom>
        <color indexed="63"/>
      </bottom>
    </border>
    <border>
      <left style="medium"/>
      <right/>
      <top style="thin"/>
      <bottom style="thin"/>
    </border>
    <border>
      <left style="thin"/>
      <right style="thin"/>
      <top/>
      <bottom/>
    </border>
    <border>
      <left style="thin"/>
      <right style="thin"/>
      <top/>
      <bottom style="thin"/>
    </border>
    <border>
      <left style="thin"/>
      <right/>
      <top/>
      <bottom/>
    </border>
    <border>
      <left/>
      <right style="thin"/>
      <top/>
      <bottom/>
    </border>
    <border>
      <left/>
      <right style="thin"/>
      <top/>
      <bottom style="thin"/>
    </border>
    <border>
      <left style="thin"/>
      <right/>
      <top/>
      <bottom style="thin"/>
    </border>
    <border>
      <left style="medium"/>
      <right/>
      <top style="medium"/>
      <bottom style="thin"/>
    </border>
    <border>
      <left/>
      <right style="medium"/>
      <top style="medium"/>
      <bottom style="thin"/>
    </border>
    <border>
      <left style="medium"/>
      <right style="thin"/>
      <top style="thin"/>
      <bottom style="medium"/>
    </border>
    <border>
      <left style="medium"/>
      <right>
        <color indexed="63"/>
      </right>
      <top style="thin"/>
      <bottom/>
    </border>
    <border>
      <left/>
      <right style="medium"/>
      <top style="thin"/>
      <bottom/>
    </border>
    <border>
      <left style="medium"/>
      <right/>
      <top style="thin"/>
      <bottom style="medium"/>
    </border>
    <border>
      <left style="thin"/>
      <right/>
      <top style="thin"/>
      <bottom style="medium"/>
    </border>
    <border>
      <left style="thin"/>
      <right/>
      <top style="medium"/>
      <bottom style="medium"/>
    </border>
    <border>
      <left/>
      <right style="medium">
        <color rgb="FF000000"/>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5"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45">
    <xf numFmtId="0" fontId="0" fillId="0" borderId="0" xfId="0" applyFont="1" applyAlignment="1">
      <alignment/>
    </xf>
    <xf numFmtId="0" fontId="71" fillId="0" borderId="0" xfId="0" applyFont="1" applyFill="1" applyAlignment="1" applyProtection="1">
      <alignment/>
      <protection/>
    </xf>
    <xf numFmtId="0" fontId="71"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1" fontId="2" fillId="33" borderId="10" xfId="0" applyNumberFormat="1" applyFont="1" applyFill="1" applyBorder="1" applyAlignment="1" applyProtection="1">
      <alignment horizontal="left"/>
      <protection locked="0"/>
    </xf>
    <xf numFmtId="1" fontId="2" fillId="33" borderId="11"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0" xfId="0" applyFont="1" applyFill="1" applyBorder="1" applyAlignment="1" applyProtection="1">
      <alignment/>
      <protection locked="0"/>
    </xf>
    <xf numFmtId="178" fontId="2" fillId="33" borderId="12" xfId="0" applyNumberFormat="1" applyFont="1" applyFill="1" applyBorder="1" applyAlignment="1" applyProtection="1">
      <alignment horizontal="left"/>
      <protection locked="0"/>
    </xf>
    <xf numFmtId="0" fontId="71" fillId="0" borderId="0" xfId="0" applyFont="1" applyAlignment="1">
      <alignment horizontal="left" vertical="center"/>
    </xf>
    <xf numFmtId="0" fontId="71" fillId="0" borderId="0" xfId="0" applyFont="1" applyAlignment="1">
      <alignment/>
    </xf>
    <xf numFmtId="0" fontId="3" fillId="0" borderId="0" xfId="0" applyFont="1" applyFill="1" applyBorder="1" applyAlignment="1" applyProtection="1">
      <alignment vertical="top" wrapText="1"/>
      <protection/>
    </xf>
    <xf numFmtId="0" fontId="2" fillId="33" borderId="13"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1"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1" fillId="0" borderId="0" xfId="0" applyFont="1" applyAlignment="1">
      <alignment/>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6" fillId="33" borderId="14" xfId="0" applyFont="1" applyFill="1" applyBorder="1" applyAlignment="1" applyProtection="1">
      <alignment vertical="top" wrapText="1"/>
      <protection/>
    </xf>
    <xf numFmtId="0" fontId="16" fillId="33" borderId="14" xfId="0" applyFont="1" applyFill="1" applyBorder="1" applyAlignment="1" applyProtection="1">
      <alignment horizontal="center" vertical="top" wrapText="1"/>
      <protection/>
    </xf>
    <xf numFmtId="0" fontId="15" fillId="33" borderId="15" xfId="0" applyFont="1" applyFill="1" applyBorder="1" applyAlignment="1" applyProtection="1">
      <alignment vertical="top" wrapText="1"/>
      <protection/>
    </xf>
    <xf numFmtId="0" fontId="15" fillId="33" borderId="11"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17" fillId="0" borderId="16" xfId="0" applyFont="1" applyBorder="1" applyAlignment="1" applyProtection="1">
      <alignment horizontal="left" vertical="top" wrapText="1"/>
      <protection/>
    </xf>
    <xf numFmtId="0" fontId="72" fillId="0" borderId="17" xfId="0" applyFont="1" applyBorder="1" applyAlignment="1" applyProtection="1">
      <alignment vertical="top" wrapText="1"/>
      <protection/>
    </xf>
    <xf numFmtId="0" fontId="0" fillId="0" borderId="0" xfId="0" applyAlignment="1">
      <alignment horizontal="center" vertical="center"/>
    </xf>
    <xf numFmtId="0" fontId="17" fillId="0" borderId="16" xfId="0" applyFont="1" applyBorder="1" applyAlignment="1" applyProtection="1">
      <alignment vertical="top" wrapText="1"/>
      <protection/>
    </xf>
    <xf numFmtId="0" fontId="17" fillId="0" borderId="17" xfId="0" applyFont="1" applyBorder="1" applyAlignment="1" applyProtection="1">
      <alignment vertical="top" wrapText="1"/>
      <protection/>
    </xf>
    <xf numFmtId="0" fontId="73" fillId="10" borderId="18" xfId="0" applyFont="1" applyFill="1" applyBorder="1" applyAlignment="1">
      <alignment horizontal="center" vertical="center" wrapText="1"/>
    </xf>
    <xf numFmtId="0" fontId="74" fillId="34" borderId="19" xfId="0" applyFont="1" applyFill="1" applyBorder="1" applyAlignment="1">
      <alignment horizontal="center" vertical="center" wrapText="1"/>
    </xf>
    <xf numFmtId="0" fontId="73" fillId="10" borderId="14" xfId="0" applyFont="1" applyFill="1" applyBorder="1" applyAlignment="1">
      <alignment horizontal="center" vertical="center" wrapText="1"/>
    </xf>
    <xf numFmtId="0" fontId="73" fillId="33" borderId="18" xfId="0" applyFont="1" applyFill="1" applyBorder="1" applyAlignment="1">
      <alignment vertical="top" wrapText="1"/>
    </xf>
    <xf numFmtId="0" fontId="73" fillId="33" borderId="0" xfId="0" applyFont="1" applyFill="1" applyBorder="1" applyAlignment="1">
      <alignment horizontal="left" vertical="top" wrapText="1"/>
    </xf>
    <xf numFmtId="0" fontId="73"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72" fillId="33" borderId="0" xfId="0" applyFont="1" applyFill="1" applyBorder="1" applyAlignment="1" applyProtection="1">
      <alignment vertical="top" wrapText="1"/>
      <protection/>
    </xf>
    <xf numFmtId="0" fontId="73" fillId="33" borderId="0" xfId="0" applyFont="1" applyFill="1" applyBorder="1" applyAlignment="1">
      <alignment horizontal="center" vertical="top" wrapText="1"/>
    </xf>
    <xf numFmtId="0" fontId="74" fillId="34" borderId="20" xfId="0" applyFont="1" applyFill="1" applyBorder="1" applyAlignment="1">
      <alignment horizontal="center" vertical="center" wrapText="1"/>
    </xf>
    <xf numFmtId="0" fontId="63" fillId="33" borderId="0" xfId="53" applyFill="1" applyBorder="1" applyAlignment="1" applyProtection="1">
      <alignment horizontal="center" vertical="top" wrapText="1"/>
      <protection/>
    </xf>
    <xf numFmtId="0" fontId="74" fillId="34" borderId="21" xfId="0" applyFont="1" applyFill="1" applyBorder="1" applyAlignment="1">
      <alignment horizontal="center" vertical="center" wrapText="1"/>
    </xf>
    <xf numFmtId="0" fontId="17" fillId="10" borderId="16" xfId="0" applyFont="1" applyFill="1" applyBorder="1" applyAlignment="1" applyProtection="1">
      <alignment horizontal="left" vertical="top" wrapText="1"/>
      <protection/>
    </xf>
    <xf numFmtId="0" fontId="72" fillId="10" borderId="17"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protection/>
    </xf>
    <xf numFmtId="0" fontId="2" fillId="10" borderId="23" xfId="0" applyFont="1" applyFill="1" applyBorder="1" applyAlignment="1" applyProtection="1">
      <alignment/>
      <protection/>
    </xf>
    <xf numFmtId="0" fontId="2" fillId="10" borderId="20" xfId="0" applyFont="1" applyFill="1" applyBorder="1" applyAlignment="1" applyProtection="1">
      <alignmen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protection/>
    </xf>
    <xf numFmtId="0" fontId="2" fillId="10" borderId="25"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71" fillId="10" borderId="0" xfId="0" applyFont="1" applyFill="1" applyBorder="1" applyAlignment="1">
      <alignment/>
    </xf>
    <xf numFmtId="0" fontId="11" fillId="10" borderId="25"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2" fillId="10" borderId="26" xfId="0" applyFont="1" applyFill="1" applyBorder="1" applyAlignment="1" applyProtection="1">
      <alignment/>
      <protection/>
    </xf>
    <xf numFmtId="0" fontId="2" fillId="10" borderId="27" xfId="0" applyFont="1" applyFill="1" applyBorder="1" applyAlignment="1" applyProtection="1">
      <alignment horizontal="left" vertical="center" wrapText="1"/>
      <protection/>
    </xf>
    <xf numFmtId="0" fontId="2" fillId="10" borderId="27" xfId="0" applyFont="1" applyFill="1" applyBorder="1" applyAlignment="1" applyProtection="1">
      <alignment vertical="top" wrapText="1"/>
      <protection/>
    </xf>
    <xf numFmtId="0" fontId="2" fillId="10" borderId="28" xfId="0" applyFont="1" applyFill="1" applyBorder="1" applyAlignment="1" applyProtection="1">
      <alignment/>
      <protection/>
    </xf>
    <xf numFmtId="0" fontId="15" fillId="10" borderId="25" xfId="0" applyFont="1" applyFill="1" applyBorder="1" applyAlignment="1" applyProtection="1">
      <alignment vertical="top" wrapText="1"/>
      <protection/>
    </xf>
    <xf numFmtId="0" fontId="15" fillId="10" borderId="24"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1" fillId="10" borderId="28" xfId="0" applyFont="1" applyFill="1" applyBorder="1" applyAlignment="1" applyProtection="1">
      <alignment vertical="top" wrapText="1"/>
      <protection/>
    </xf>
    <xf numFmtId="0" fontId="71" fillId="10" borderId="22" xfId="0" applyFont="1" applyFill="1" applyBorder="1" applyAlignment="1">
      <alignment horizontal="left" vertical="center"/>
    </xf>
    <xf numFmtId="0" fontId="71" fillId="10" borderId="23" xfId="0" applyFont="1" applyFill="1" applyBorder="1" applyAlignment="1">
      <alignment horizontal="left" vertical="center"/>
    </xf>
    <xf numFmtId="0" fontId="71" fillId="10" borderId="23" xfId="0" applyFont="1" applyFill="1" applyBorder="1" applyAlignment="1">
      <alignment/>
    </xf>
    <xf numFmtId="0" fontId="71" fillId="10" borderId="20" xfId="0" applyFont="1" applyFill="1" applyBorder="1" applyAlignment="1">
      <alignment/>
    </xf>
    <xf numFmtId="0" fontId="71" fillId="10" borderId="24" xfId="0" applyFont="1" applyFill="1" applyBorder="1" applyAlignment="1">
      <alignment horizontal="left" vertical="center"/>
    </xf>
    <xf numFmtId="0" fontId="2" fillId="10" borderId="25"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6" xfId="0" applyFont="1" applyFill="1" applyBorder="1" applyAlignment="1" applyProtection="1">
      <alignment horizontal="left" vertical="center" wrapText="1"/>
      <protection/>
    </xf>
    <xf numFmtId="0" fontId="3" fillId="10" borderId="27" xfId="0" applyFont="1" applyFill="1" applyBorder="1" applyAlignment="1" applyProtection="1">
      <alignment vertical="top" wrapText="1"/>
      <protection/>
    </xf>
    <xf numFmtId="0" fontId="2" fillId="10" borderId="28" xfId="0" applyFont="1" applyFill="1" applyBorder="1" applyAlignment="1" applyProtection="1">
      <alignment vertical="top" wrapText="1"/>
      <protection/>
    </xf>
    <xf numFmtId="0" fontId="71" fillId="10" borderId="23" xfId="0" applyFont="1" applyFill="1" applyBorder="1" applyAlignment="1" applyProtection="1">
      <alignment/>
      <protection/>
    </xf>
    <xf numFmtId="0" fontId="71" fillId="10" borderId="20" xfId="0" applyFont="1" applyFill="1" applyBorder="1" applyAlignment="1" applyProtection="1">
      <alignment/>
      <protection/>
    </xf>
    <xf numFmtId="0" fontId="71" fillId="10" borderId="0" xfId="0" applyFont="1" applyFill="1" applyBorder="1" applyAlignment="1" applyProtection="1">
      <alignment/>
      <protection/>
    </xf>
    <xf numFmtId="0" fontId="71" fillId="10" borderId="25"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10" borderId="0" xfId="0" applyFont="1" applyFill="1" applyBorder="1" applyAlignment="1" applyProtection="1">
      <alignment horizontal="left"/>
      <protection/>
    </xf>
    <xf numFmtId="0" fontId="7" fillId="10" borderId="25"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7" xfId="0" applyFont="1" applyFill="1" applyBorder="1" applyAlignment="1" applyProtection="1">
      <alignment/>
      <protection/>
    </xf>
    <xf numFmtId="0" fontId="75" fillId="0" borderId="14" xfId="0" applyFont="1" applyBorder="1" applyAlignment="1">
      <alignment horizontal="center" readingOrder="1"/>
    </xf>
    <xf numFmtId="0" fontId="0" fillId="10" borderId="22" xfId="0" applyFill="1" applyBorder="1" applyAlignment="1">
      <alignment/>
    </xf>
    <xf numFmtId="0" fontId="0" fillId="10" borderId="23" xfId="0" applyFill="1" applyBorder="1" applyAlignment="1">
      <alignment/>
    </xf>
    <xf numFmtId="0" fontId="0" fillId="10" borderId="20" xfId="0" applyFill="1" applyBorder="1" applyAlignment="1">
      <alignment/>
    </xf>
    <xf numFmtId="0" fontId="0" fillId="10" borderId="24" xfId="0" applyFill="1" applyBorder="1" applyAlignment="1">
      <alignment/>
    </xf>
    <xf numFmtId="0" fontId="0" fillId="10" borderId="0" xfId="0" applyFill="1" applyBorder="1" applyAlignment="1">
      <alignment/>
    </xf>
    <xf numFmtId="0" fontId="14" fillId="10" borderId="25" xfId="0" applyFont="1" applyFill="1" applyBorder="1" applyAlignment="1" applyProtection="1">
      <alignment/>
      <protection/>
    </xf>
    <xf numFmtId="0" fontId="0" fillId="10" borderId="25" xfId="0" applyFill="1" applyBorder="1" applyAlignment="1">
      <alignment/>
    </xf>
    <xf numFmtId="0" fontId="76" fillId="10" borderId="22" xfId="0" applyFont="1" applyFill="1" applyBorder="1" applyAlignment="1">
      <alignment vertical="center"/>
    </xf>
    <xf numFmtId="0" fontId="76" fillId="10" borderId="24" xfId="0" applyFont="1" applyFill="1" applyBorder="1" applyAlignment="1">
      <alignment vertical="center"/>
    </xf>
    <xf numFmtId="0" fontId="76" fillId="10" borderId="0" xfId="0" applyFont="1" applyFill="1" applyBorder="1" applyAlignment="1">
      <alignment vertical="center"/>
    </xf>
    <xf numFmtId="0" fontId="0" fillId="0" borderId="0" xfId="0" applyBorder="1" applyAlignment="1">
      <alignment/>
    </xf>
    <xf numFmtId="0" fontId="74" fillId="34" borderId="19"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0" xfId="0" applyFont="1" applyFill="1" applyBorder="1" applyAlignment="1" applyProtection="1">
      <alignment vertical="center"/>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3" fillId="10" borderId="18" xfId="0" applyFont="1" applyFill="1" applyBorder="1" applyAlignment="1" applyProtection="1">
      <alignment vertical="center" wrapText="1"/>
      <protection/>
    </xf>
    <xf numFmtId="0" fontId="3" fillId="10" borderId="29" xfId="0" applyFont="1" applyFill="1" applyBorder="1" applyAlignment="1" applyProtection="1">
      <alignment vertical="center" wrapText="1"/>
      <protection/>
    </xf>
    <xf numFmtId="0" fontId="3" fillId="10" borderId="30" xfId="0" applyFont="1" applyFill="1" applyBorder="1" applyAlignment="1" applyProtection="1">
      <alignment vertical="center" wrapText="1"/>
      <protection/>
    </xf>
    <xf numFmtId="0" fontId="77" fillId="10" borderId="14" xfId="0" applyFont="1" applyFill="1" applyBorder="1" applyAlignment="1">
      <alignment horizontal="center" vertical="center"/>
    </xf>
    <xf numFmtId="0" fontId="3" fillId="10" borderId="25"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vertical="center" wrapText="1"/>
      <protection/>
    </xf>
    <xf numFmtId="0" fontId="74" fillId="34" borderId="19" xfId="0" applyFont="1" applyFill="1" applyBorder="1" applyAlignment="1">
      <alignment horizontal="center" vertical="center" wrapText="1"/>
    </xf>
    <xf numFmtId="0" fontId="0" fillId="10" borderId="23" xfId="0" applyFill="1" applyBorder="1" applyAlignment="1">
      <alignment/>
    </xf>
    <xf numFmtId="0" fontId="0" fillId="10" borderId="0" xfId="0" applyFill="1" applyBorder="1" applyAlignment="1">
      <alignment/>
    </xf>
    <xf numFmtId="0" fontId="0" fillId="10" borderId="27" xfId="0" applyFill="1" applyBorder="1" applyAlignment="1">
      <alignment/>
    </xf>
    <xf numFmtId="0" fontId="0" fillId="33" borderId="14" xfId="0" applyFill="1" applyBorder="1" applyAlignment="1">
      <alignment/>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4" xfId="0" applyFont="1" applyFill="1" applyBorder="1" applyAlignment="1" applyProtection="1">
      <alignment horizontal="left" vertical="center"/>
      <protection/>
    </xf>
    <xf numFmtId="0" fontId="71" fillId="10" borderId="22" xfId="0" applyFont="1" applyFill="1" applyBorder="1" applyAlignment="1">
      <alignment/>
    </xf>
    <xf numFmtId="0" fontId="71" fillId="10" borderId="24" xfId="0" applyFont="1" applyFill="1" applyBorder="1" applyAlignment="1">
      <alignment/>
    </xf>
    <xf numFmtId="0" fontId="71" fillId="10" borderId="25" xfId="0" applyFont="1" applyFill="1" applyBorder="1" applyAlignment="1">
      <alignment/>
    </xf>
    <xf numFmtId="0" fontId="78" fillId="10" borderId="0" xfId="0" applyFont="1" applyFill="1" applyBorder="1" applyAlignment="1">
      <alignment/>
    </xf>
    <xf numFmtId="0" fontId="79" fillId="10" borderId="0" xfId="0" applyFont="1" applyFill="1" applyBorder="1" applyAlignment="1">
      <alignment/>
    </xf>
    <xf numFmtId="0" fontId="78" fillId="0" borderId="30" xfId="0" applyFont="1" applyFill="1" applyBorder="1" applyAlignment="1">
      <alignment vertical="top" wrapText="1"/>
    </xf>
    <xf numFmtId="0" fontId="78" fillId="0" borderId="29" xfId="0" applyFont="1" applyFill="1" applyBorder="1" applyAlignment="1">
      <alignment vertical="top" wrapText="1"/>
    </xf>
    <xf numFmtId="0" fontId="78" fillId="0" borderId="14" xfId="0" applyFont="1" applyFill="1" applyBorder="1" applyAlignment="1">
      <alignment vertical="top" wrapText="1"/>
    </xf>
    <xf numFmtId="0" fontId="78" fillId="0" borderId="14" xfId="0" applyFont="1" applyFill="1" applyBorder="1" applyAlignment="1">
      <alignment/>
    </xf>
    <xf numFmtId="0" fontId="78" fillId="0" borderId="14" xfId="0" applyFont="1" applyFill="1" applyBorder="1" applyAlignment="1">
      <alignment vertical="top"/>
    </xf>
    <xf numFmtId="0" fontId="71" fillId="0" borderId="14" xfId="0" applyFont="1" applyFill="1" applyBorder="1" applyAlignment="1">
      <alignment vertical="top" wrapText="1"/>
    </xf>
    <xf numFmtId="0" fontId="71" fillId="0" borderId="14" xfId="0" applyFont="1" applyFill="1" applyBorder="1" applyAlignment="1">
      <alignment/>
    </xf>
    <xf numFmtId="0" fontId="71" fillId="10" borderId="26" xfId="0" applyFont="1" applyFill="1" applyBorder="1" applyAlignment="1">
      <alignment/>
    </xf>
    <xf numFmtId="0" fontId="71" fillId="10" borderId="27" xfId="0" applyFont="1" applyFill="1" applyBorder="1" applyAlignment="1">
      <alignment/>
    </xf>
    <xf numFmtId="0" fontId="71" fillId="10" borderId="28" xfId="0" applyFont="1" applyFill="1" applyBorder="1" applyAlignment="1">
      <alignment/>
    </xf>
    <xf numFmtId="0" fontId="80" fillId="0" borderId="14" xfId="0" applyFont="1" applyFill="1" applyBorder="1" applyAlignment="1">
      <alignment horizontal="center" vertical="top" wrapText="1"/>
    </xf>
    <xf numFmtId="0" fontId="80" fillId="0" borderId="19" xfId="0" applyFont="1" applyFill="1" applyBorder="1" applyAlignment="1">
      <alignment horizontal="center" vertical="top" wrapText="1"/>
    </xf>
    <xf numFmtId="0" fontId="80" fillId="0" borderId="14" xfId="0" applyFont="1" applyFill="1" applyBorder="1" applyAlignment="1">
      <alignment horizontal="center" vertical="top"/>
    </xf>
    <xf numFmtId="1" fontId="2" fillId="33" borderId="31" xfId="0" applyNumberFormat="1" applyFont="1" applyFill="1" applyBorder="1" applyAlignment="1" applyProtection="1">
      <alignment horizontal="left"/>
      <protection locked="0"/>
    </xf>
    <xf numFmtId="0" fontId="3" fillId="10" borderId="0" xfId="0" applyFont="1" applyFill="1" applyBorder="1" applyAlignment="1" applyProtection="1">
      <alignment horizontal="right" wrapText="1"/>
      <protection/>
    </xf>
    <xf numFmtId="0" fontId="71" fillId="0" borderId="0" xfId="0" applyFont="1" applyFill="1" applyAlignment="1" applyProtection="1">
      <alignment horizontal="right"/>
      <protection/>
    </xf>
    <xf numFmtId="0" fontId="71" fillId="10" borderId="22" xfId="0" applyFont="1" applyFill="1" applyBorder="1" applyAlignment="1" applyProtection="1">
      <alignment horizontal="right"/>
      <protection/>
    </xf>
    <xf numFmtId="0" fontId="71" fillId="10" borderId="23" xfId="0" applyFont="1" applyFill="1" applyBorder="1" applyAlignment="1" applyProtection="1">
      <alignment horizontal="right"/>
      <protection/>
    </xf>
    <xf numFmtId="0" fontId="71" fillId="10" borderId="24" xfId="0" applyFont="1" applyFill="1" applyBorder="1" applyAlignment="1" applyProtection="1">
      <alignment horizontal="right"/>
      <protection/>
    </xf>
    <xf numFmtId="0" fontId="71"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4" xfId="0" applyFont="1" applyFill="1" applyBorder="1" applyAlignment="1" applyProtection="1">
      <alignment horizontal="right" vertical="top" wrapText="1"/>
      <protection/>
    </xf>
    <xf numFmtId="0" fontId="77"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10" borderId="24" xfId="0" applyFont="1" applyFill="1" applyBorder="1" applyAlignment="1" applyProtection="1">
      <alignment horizontal="right" wrapText="1"/>
      <protection/>
    </xf>
    <xf numFmtId="0" fontId="2" fillId="33" borderId="32" xfId="0" applyFont="1" applyFill="1" applyBorder="1" applyAlignment="1" applyProtection="1">
      <alignment vertical="top" wrapText="1"/>
      <protection/>
    </xf>
    <xf numFmtId="0" fontId="3" fillId="33" borderId="33" xfId="0" applyFont="1" applyFill="1" applyBorder="1" applyAlignment="1" applyProtection="1">
      <alignment horizontal="right" vertical="center" wrapText="1"/>
      <protection/>
    </xf>
    <xf numFmtId="0" fontId="3" fillId="33" borderId="34"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33" borderId="11" xfId="0" applyFont="1" applyFill="1" applyBorder="1" applyAlignment="1" applyProtection="1">
      <alignment horizontal="left"/>
      <protection/>
    </xf>
    <xf numFmtId="17" fontId="2" fillId="33" borderId="11" xfId="0" applyNumberFormat="1" applyFont="1" applyFill="1" applyBorder="1" applyAlignment="1" applyProtection="1">
      <alignment horizontal="left"/>
      <protection/>
    </xf>
    <xf numFmtId="0" fontId="63" fillId="33" borderId="11" xfId="53" applyFill="1" applyBorder="1" applyAlignment="1" applyProtection="1">
      <alignment/>
      <protection locked="0"/>
    </xf>
    <xf numFmtId="0" fontId="2" fillId="33" borderId="12" xfId="0" applyFont="1" applyFill="1" applyBorder="1" applyAlignment="1" applyProtection="1">
      <alignment horizontal="left"/>
      <protection/>
    </xf>
    <xf numFmtId="0" fontId="2" fillId="33" borderId="15"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9" fontId="2" fillId="33"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left" vertical="center" wrapText="1"/>
      <protection/>
    </xf>
    <xf numFmtId="0" fontId="63" fillId="33" borderId="14" xfId="53" applyFill="1" applyBorder="1" applyAlignment="1" applyProtection="1">
      <alignment vertical="top" wrapText="1"/>
      <protection locked="0"/>
    </xf>
    <xf numFmtId="1" fontId="2" fillId="33" borderId="14" xfId="0" applyNumberFormat="1" applyFont="1" applyFill="1" applyBorder="1" applyAlignment="1" applyProtection="1">
      <alignment horizontal="left" vertical="center"/>
      <protection locked="0"/>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0" fillId="0" borderId="0" xfId="0" applyFont="1" applyFill="1" applyBorder="1" applyAlignment="1">
      <alignment/>
    </xf>
    <xf numFmtId="0" fontId="0" fillId="36" borderId="22" xfId="0" applyFont="1" applyFill="1" applyBorder="1" applyAlignment="1">
      <alignment/>
    </xf>
    <xf numFmtId="0" fontId="0" fillId="36" borderId="23" xfId="0" applyFont="1" applyFill="1" applyBorder="1" applyAlignment="1">
      <alignment/>
    </xf>
    <xf numFmtId="0" fontId="0" fillId="36" borderId="20" xfId="0" applyFont="1" applyFill="1" applyBorder="1" applyAlignment="1">
      <alignment/>
    </xf>
    <xf numFmtId="0" fontId="0" fillId="36" borderId="24" xfId="0" applyFont="1" applyFill="1" applyBorder="1" applyAlignment="1">
      <alignment/>
    </xf>
    <xf numFmtId="0" fontId="15" fillId="36" borderId="0" xfId="0" applyFont="1" applyFill="1" applyBorder="1" applyAlignment="1" applyProtection="1">
      <alignment vertical="top" wrapText="1"/>
      <protection/>
    </xf>
    <xf numFmtId="0" fontId="15" fillId="36" borderId="25" xfId="0" applyFont="1" applyFill="1" applyBorder="1" applyAlignment="1" applyProtection="1">
      <alignment vertical="top" wrapText="1"/>
      <protection/>
    </xf>
    <xf numFmtId="0" fontId="15" fillId="36" borderId="24" xfId="0" applyFont="1" applyFill="1" applyBorder="1" applyAlignment="1" applyProtection="1">
      <alignment vertical="top" wrapText="1"/>
      <protection/>
    </xf>
    <xf numFmtId="0" fontId="16" fillId="36" borderId="36" xfId="0" applyFont="1" applyFill="1" applyBorder="1" applyAlignment="1" applyProtection="1">
      <alignment horizontal="left" vertical="top" wrapText="1"/>
      <protection/>
    </xf>
    <xf numFmtId="0" fontId="15" fillId="36" borderId="0" xfId="0" applyFont="1" applyFill="1" applyBorder="1" applyAlignment="1" applyProtection="1">
      <alignment horizontal="left" vertical="top" wrapText="1"/>
      <protection/>
    </xf>
    <xf numFmtId="0" fontId="15" fillId="36" borderId="24" xfId="0" applyFont="1" applyFill="1" applyBorder="1" applyAlignment="1" applyProtection="1">
      <alignment horizontal="center" vertical="top" wrapText="1"/>
      <protection/>
    </xf>
    <xf numFmtId="0" fontId="16" fillId="37" borderId="19" xfId="0" applyFont="1" applyFill="1" applyBorder="1" applyAlignment="1">
      <alignment horizontal="center"/>
    </xf>
    <xf numFmtId="0" fontId="16" fillId="37" borderId="14" xfId="0" applyFont="1" applyFill="1" applyBorder="1" applyAlignment="1">
      <alignment horizontal="center"/>
    </xf>
    <xf numFmtId="0" fontId="0" fillId="33" borderId="14" xfId="0" applyFill="1" applyBorder="1" applyAlignment="1">
      <alignment horizontal="center" vertical="center"/>
    </xf>
    <xf numFmtId="0" fontId="2" fillId="35" borderId="14" xfId="0" applyFont="1" applyFill="1" applyBorder="1" applyAlignment="1" applyProtection="1">
      <alignment horizontal="center" vertical="center"/>
      <protection/>
    </xf>
    <xf numFmtId="0" fontId="0" fillId="0" borderId="0" xfId="0" applyAlignment="1">
      <alignment vertical="top" wrapText="1"/>
    </xf>
    <xf numFmtId="0" fontId="0" fillId="0" borderId="0" xfId="0" applyAlignment="1">
      <alignment vertical="center"/>
    </xf>
    <xf numFmtId="0" fontId="0" fillId="0" borderId="0" xfId="0" applyNumberFormat="1" applyAlignment="1">
      <alignment vertical="top"/>
    </xf>
    <xf numFmtId="0" fontId="0" fillId="0" borderId="24" xfId="0" applyNumberFormat="1" applyBorder="1" applyAlignment="1">
      <alignment vertical="top"/>
    </xf>
    <xf numFmtId="0" fontId="0" fillId="33" borderId="19" xfId="0" applyFill="1" applyBorder="1" applyAlignment="1">
      <alignment vertical="center" wrapText="1"/>
    </xf>
    <xf numFmtId="0" fontId="71" fillId="0" borderId="0" xfId="0" applyFont="1" applyFill="1" applyBorder="1" applyAlignment="1">
      <alignment/>
    </xf>
    <xf numFmtId="0" fontId="0" fillId="33" borderId="19" xfId="0" applyFill="1" applyBorder="1" applyAlignment="1">
      <alignment vertical="center"/>
    </xf>
    <xf numFmtId="0" fontId="2" fillId="33" borderId="37"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xf>
    <xf numFmtId="0" fontId="0" fillId="0" borderId="0" xfId="0" applyAlignment="1">
      <alignment horizontal="left" vertical="top" wrapText="1"/>
    </xf>
    <xf numFmtId="0" fontId="0" fillId="0" borderId="0" xfId="0" applyBorder="1" applyAlignment="1">
      <alignment horizontal="left" vertical="top" wrapText="1"/>
    </xf>
    <xf numFmtId="0" fontId="0" fillId="33" borderId="0" xfId="0" applyFont="1" applyFill="1" applyBorder="1" applyAlignment="1">
      <alignment/>
    </xf>
    <xf numFmtId="0" fontId="15" fillId="33" borderId="38" xfId="0" applyFont="1" applyFill="1" applyBorder="1" applyAlignment="1" applyProtection="1">
      <alignment horizontal="left" vertical="top" wrapText="1"/>
      <protection/>
    </xf>
    <xf numFmtId="0" fontId="15" fillId="33" borderId="39" xfId="0" applyFont="1" applyFill="1" applyBorder="1" applyAlignment="1" applyProtection="1">
      <alignment vertical="top" wrapText="1"/>
      <protection/>
    </xf>
    <xf numFmtId="0" fontId="15" fillId="33" borderId="40" xfId="0" applyFont="1" applyFill="1" applyBorder="1" applyAlignment="1" applyProtection="1">
      <alignment vertical="top" wrapText="1"/>
      <protection/>
    </xf>
    <xf numFmtId="0" fontId="15" fillId="33" borderId="38" xfId="0" applyFont="1" applyFill="1" applyBorder="1" applyAlignment="1" applyProtection="1">
      <alignment vertical="top" wrapText="1"/>
      <protection/>
    </xf>
    <xf numFmtId="0" fontId="15" fillId="33" borderId="38" xfId="0" applyFont="1" applyFill="1" applyBorder="1" applyAlignment="1" applyProtection="1">
      <alignment horizontal="left" vertical="center" wrapText="1"/>
      <protection/>
    </xf>
    <xf numFmtId="0" fontId="16" fillId="38" borderId="14" xfId="0" applyFont="1" applyFill="1" applyBorder="1" applyAlignment="1" applyProtection="1">
      <alignment horizontal="center" vertical="top" wrapText="1"/>
      <protection/>
    </xf>
    <xf numFmtId="0" fontId="15" fillId="0" borderId="11" xfId="0" applyFont="1" applyFill="1" applyBorder="1" applyAlignment="1" applyProtection="1">
      <alignment horizontal="left" vertical="center" wrapText="1"/>
      <protection/>
    </xf>
    <xf numFmtId="0" fontId="15" fillId="33" borderId="31" xfId="0" applyFont="1" applyFill="1" applyBorder="1" applyAlignment="1" applyProtection="1">
      <alignment horizontal="left" vertical="top" wrapText="1"/>
      <protection/>
    </xf>
    <xf numFmtId="0" fontId="15" fillId="0" borderId="31" xfId="0" applyFont="1" applyFill="1" applyBorder="1" applyAlignment="1" applyProtection="1">
      <alignment horizontal="left" vertical="top" wrapText="1"/>
      <protection/>
    </xf>
    <xf numFmtId="4" fontId="15" fillId="33" borderId="36" xfId="0" applyNumberFormat="1" applyFont="1" applyFill="1" applyBorder="1" applyAlignment="1" applyProtection="1">
      <alignment vertical="top" wrapText="1"/>
      <protection/>
    </xf>
    <xf numFmtId="0" fontId="15" fillId="33" borderId="41" xfId="0" applyFont="1" applyFill="1" applyBorder="1" applyAlignment="1" applyProtection="1">
      <alignment vertical="top" wrapText="1"/>
      <protection/>
    </xf>
    <xf numFmtId="0" fontId="15" fillId="33" borderId="42" xfId="0" applyFont="1" applyFill="1" applyBorder="1" applyAlignment="1" applyProtection="1">
      <alignment vertical="top" wrapText="1"/>
      <protection/>
    </xf>
    <xf numFmtId="4" fontId="16" fillId="33" borderId="36" xfId="0" applyNumberFormat="1" applyFont="1" applyFill="1" applyBorder="1" applyAlignment="1" applyProtection="1">
      <alignment vertical="top" wrapText="1"/>
      <protection/>
    </xf>
    <xf numFmtId="17" fontId="15" fillId="33" borderId="10" xfId="0" applyNumberFormat="1" applyFont="1" applyFill="1" applyBorder="1" applyAlignment="1" applyProtection="1">
      <alignment vertical="top" wrapText="1"/>
      <protection/>
    </xf>
    <xf numFmtId="0" fontId="15" fillId="33" borderId="43" xfId="0" applyFont="1" applyFill="1" applyBorder="1" applyAlignment="1" applyProtection="1">
      <alignment vertical="top" wrapText="1"/>
      <protection/>
    </xf>
    <xf numFmtId="0" fontId="15" fillId="33" borderId="31" xfId="0" applyFont="1" applyFill="1" applyBorder="1" applyAlignment="1" applyProtection="1">
      <alignment vertical="top" wrapText="1"/>
      <protection/>
    </xf>
    <xf numFmtId="0" fontId="15" fillId="33" borderId="14" xfId="0" applyFont="1" applyFill="1" applyBorder="1" applyAlignment="1" applyProtection="1">
      <alignment vertical="top" wrapText="1"/>
      <protection/>
    </xf>
    <xf numFmtId="0" fontId="15" fillId="33" borderId="14" xfId="0" applyFont="1" applyFill="1" applyBorder="1" applyAlignment="1" applyProtection="1">
      <alignment horizontal="left" vertical="top" wrapText="1"/>
      <protection locked="0"/>
    </xf>
    <xf numFmtId="181" fontId="15" fillId="0" borderId="38" xfId="0" applyNumberFormat="1" applyFont="1" applyFill="1" applyBorder="1" applyAlignment="1" applyProtection="1">
      <alignment horizontal="right" vertical="top" wrapText="1" indent="1"/>
      <protection/>
    </xf>
    <xf numFmtId="181" fontId="15" fillId="0" borderId="44" xfId="0" applyNumberFormat="1" applyFont="1" applyFill="1" applyBorder="1" applyAlignment="1" applyProtection="1">
      <alignment horizontal="right" vertical="top" wrapText="1" indent="1"/>
      <protection/>
    </xf>
    <xf numFmtId="0" fontId="15" fillId="0" borderId="15" xfId="0" applyFont="1" applyFill="1" applyBorder="1" applyAlignment="1" applyProtection="1">
      <alignment vertical="top" wrapText="1"/>
      <protection/>
    </xf>
    <xf numFmtId="0" fontId="15" fillId="0" borderId="11" xfId="0" applyFont="1" applyFill="1" applyBorder="1" applyAlignment="1" applyProtection="1">
      <alignment horizontal="center" vertical="center" wrapText="1"/>
      <protection/>
    </xf>
    <xf numFmtId="0" fontId="16" fillId="0" borderId="14" xfId="0" applyFont="1" applyFill="1" applyBorder="1" applyAlignment="1" applyProtection="1">
      <alignment horizontal="center"/>
      <protection/>
    </xf>
    <xf numFmtId="0" fontId="3" fillId="33" borderId="45" xfId="0" applyFont="1" applyFill="1" applyBorder="1" applyAlignment="1" applyProtection="1">
      <alignment horizontal="right" vertical="center" wrapText="1"/>
      <protection/>
    </xf>
    <xf numFmtId="4" fontId="16" fillId="33" borderId="14" xfId="0" applyNumberFormat="1" applyFont="1" applyFill="1" applyBorder="1" applyAlignment="1" applyProtection="1">
      <alignment vertical="top" wrapText="1"/>
      <protection/>
    </xf>
    <xf numFmtId="0" fontId="15" fillId="0" borderId="15" xfId="0" applyFont="1" applyFill="1" applyBorder="1" applyAlignment="1" applyProtection="1">
      <alignment horizontal="justify" vertical="top" wrapText="1"/>
      <protection/>
    </xf>
    <xf numFmtId="0" fontId="15" fillId="0" borderId="11" xfId="0" applyFont="1" applyFill="1" applyBorder="1" applyAlignment="1" applyProtection="1">
      <alignment horizontal="left" vertical="top" wrapText="1"/>
      <protection/>
    </xf>
    <xf numFmtId="0" fontId="15" fillId="0" borderId="11" xfId="0" applyFont="1" applyFill="1" applyBorder="1" applyAlignment="1" applyProtection="1">
      <alignment horizontal="justify" vertical="top" wrapText="1"/>
      <protection/>
    </xf>
    <xf numFmtId="0" fontId="15" fillId="0" borderId="28" xfId="0" applyFont="1" applyFill="1" applyBorder="1" applyAlignment="1">
      <alignment vertical="top" wrapText="1"/>
    </xf>
    <xf numFmtId="0" fontId="15" fillId="0" borderId="25" xfId="0" applyFont="1" applyFill="1" applyBorder="1" applyAlignment="1">
      <alignment vertical="top" wrapText="1"/>
    </xf>
    <xf numFmtId="0" fontId="15" fillId="0" borderId="19" xfId="0" applyFont="1" applyFill="1" applyBorder="1" applyAlignment="1">
      <alignment vertical="top" wrapText="1"/>
    </xf>
    <xf numFmtId="0" fontId="15" fillId="0" borderId="10" xfId="0" applyFont="1" applyFill="1" applyBorder="1" applyAlignment="1" applyProtection="1">
      <alignment vertical="top" wrapText="1"/>
      <protection/>
    </xf>
    <xf numFmtId="0" fontId="15" fillId="0" borderId="11" xfId="0" applyFont="1" applyFill="1" applyBorder="1" applyAlignment="1" applyProtection="1">
      <alignment vertical="top" wrapText="1"/>
      <protection/>
    </xf>
    <xf numFmtId="0" fontId="15" fillId="0" borderId="30"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194" fontId="71" fillId="0" borderId="0" xfId="42" applyNumberFormat="1" applyFont="1" applyAlignment="1">
      <alignment/>
    </xf>
    <xf numFmtId="194" fontId="71" fillId="0" borderId="0" xfId="0" applyNumberFormat="1" applyFont="1" applyAlignment="1">
      <alignment/>
    </xf>
    <xf numFmtId="15" fontId="15" fillId="0" borderId="38" xfId="0" applyNumberFormat="1" applyFont="1" applyFill="1" applyBorder="1" applyAlignment="1" applyProtection="1">
      <alignment horizontal="center" vertical="top" wrapText="1"/>
      <protection/>
    </xf>
    <xf numFmtId="0" fontId="0" fillId="0" borderId="24" xfId="0" applyFill="1" applyBorder="1" applyAlignment="1">
      <alignment horizontal="left" vertical="top" wrapText="1"/>
    </xf>
    <xf numFmtId="0" fontId="15" fillId="36" borderId="46" xfId="0" applyFont="1" applyFill="1" applyBorder="1" applyAlignment="1" applyProtection="1">
      <alignment vertical="top" wrapText="1"/>
      <protection/>
    </xf>
    <xf numFmtId="0" fontId="15" fillId="36" borderId="47" xfId="0" applyFont="1" applyFill="1" applyBorder="1" applyAlignment="1" applyProtection="1">
      <alignment horizontal="center" vertical="top" wrapText="1"/>
      <protection/>
    </xf>
    <xf numFmtId="0" fontId="2" fillId="33" borderId="15" xfId="0" applyFont="1" applyFill="1" applyBorder="1" applyAlignment="1" applyProtection="1">
      <alignment horizontal="left" vertical="center" wrapText="1"/>
      <protection/>
    </xf>
    <xf numFmtId="0" fontId="2" fillId="39" borderId="48" xfId="0" applyFont="1" applyFill="1" applyBorder="1" applyAlignment="1" applyProtection="1">
      <alignment horizontal="left" vertical="center" wrapText="1"/>
      <protection/>
    </xf>
    <xf numFmtId="0" fontId="15" fillId="0" borderId="18"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15" fillId="33" borderId="14" xfId="0" applyFont="1" applyFill="1" applyBorder="1" applyAlignment="1" applyProtection="1">
      <alignment vertical="top" wrapText="1"/>
      <protection locked="0"/>
    </xf>
    <xf numFmtId="0" fontId="81" fillId="10" borderId="0" xfId="0" applyFont="1" applyFill="1" applyBorder="1" applyAlignment="1" applyProtection="1">
      <alignment vertical="top" wrapText="1"/>
      <protection/>
    </xf>
    <xf numFmtId="0" fontId="3" fillId="33" borderId="23" xfId="0" applyFont="1" applyFill="1" applyBorder="1" applyAlignment="1" applyProtection="1">
      <alignment horizontal="center" vertical="center" wrapText="1"/>
      <protection/>
    </xf>
    <xf numFmtId="0" fontId="2" fillId="33" borderId="49" xfId="0" applyFont="1" applyFill="1" applyBorder="1" applyAlignment="1" applyProtection="1">
      <alignment vertical="top" wrapText="1"/>
      <protection/>
    </xf>
    <xf numFmtId="0" fontId="2" fillId="33" borderId="50" xfId="0" applyFont="1" applyFill="1" applyBorder="1" applyAlignment="1" applyProtection="1">
      <alignment vertical="top" wrapText="1"/>
      <protection/>
    </xf>
    <xf numFmtId="0" fontId="2" fillId="33" borderId="40" xfId="0" applyFont="1" applyFill="1" applyBorder="1" applyAlignment="1" applyProtection="1">
      <alignment vertical="top" wrapText="1"/>
      <protection/>
    </xf>
    <xf numFmtId="0" fontId="2" fillId="33" borderId="51" xfId="0" applyFont="1" applyFill="1" applyBorder="1" applyAlignment="1" applyProtection="1">
      <alignment vertical="top" wrapText="1"/>
      <protection/>
    </xf>
    <xf numFmtId="0" fontId="3" fillId="33" borderId="23" xfId="0" applyFont="1" applyFill="1" applyBorder="1" applyAlignment="1" applyProtection="1">
      <alignment horizontal="right" vertical="center" wrapText="1"/>
      <protection/>
    </xf>
    <xf numFmtId="0" fontId="2" fillId="33" borderId="23"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17" fontId="16" fillId="33" borderId="10" xfId="0" applyNumberFormat="1" applyFont="1" applyFill="1" applyBorder="1" applyAlignment="1" applyProtection="1">
      <alignment vertical="top" wrapText="1"/>
      <protection/>
    </xf>
    <xf numFmtId="0" fontId="15" fillId="33" borderId="14" xfId="0" applyFont="1" applyFill="1" applyBorder="1" applyAlignment="1" applyProtection="1">
      <alignment/>
      <protection/>
    </xf>
    <xf numFmtId="0" fontId="15" fillId="36" borderId="0" xfId="0" applyFont="1" applyFill="1" applyBorder="1" applyAlignment="1" applyProtection="1">
      <alignment horizontal="center" wrapText="1"/>
      <protection/>
    </xf>
    <xf numFmtId="0" fontId="16" fillId="36" borderId="0" xfId="0" applyFont="1" applyFill="1" applyBorder="1" applyAlignment="1" applyProtection="1">
      <alignment horizontal="left" vertical="top" wrapText="1"/>
      <protection/>
    </xf>
    <xf numFmtId="0" fontId="15" fillId="0" borderId="38" xfId="0" applyFont="1" applyFill="1" applyBorder="1" applyAlignment="1">
      <alignment horizontal="left" vertical="center" wrapText="1"/>
    </xf>
    <xf numFmtId="0" fontId="15" fillId="0" borderId="38" xfId="0" applyFont="1" applyFill="1" applyBorder="1" applyAlignment="1">
      <alignment horizontal="left" vertical="top" wrapText="1"/>
    </xf>
    <xf numFmtId="0" fontId="15" fillId="0" borderId="38" xfId="0" applyFont="1" applyFill="1" applyBorder="1" applyAlignment="1">
      <alignment vertical="top" wrapText="1"/>
    </xf>
    <xf numFmtId="0" fontId="82" fillId="0" borderId="38" xfId="0" applyFont="1" applyFill="1" applyBorder="1" applyAlignment="1">
      <alignment horizontal="center" vertical="center" wrapText="1"/>
    </xf>
    <xf numFmtId="0" fontId="82" fillId="0" borderId="38" xfId="0" applyFont="1" applyBorder="1" applyAlignment="1">
      <alignment horizontal="center" vertical="center" wrapText="1"/>
    </xf>
    <xf numFmtId="4" fontId="15" fillId="0" borderId="36" xfId="0" applyNumberFormat="1" applyFont="1" applyFill="1" applyBorder="1" applyAlignment="1" applyProtection="1">
      <alignment horizontal="center" vertical="center" wrapText="1"/>
      <protection/>
    </xf>
    <xf numFmtId="4" fontId="2" fillId="0" borderId="35" xfId="0" applyNumberFormat="1" applyFont="1" applyFill="1" applyBorder="1" applyAlignment="1" applyProtection="1">
      <alignment horizontal="center" vertical="center" wrapText="1"/>
      <protection/>
    </xf>
    <xf numFmtId="15" fontId="15" fillId="33" borderId="38" xfId="0" applyNumberFormat="1" applyFont="1" applyFill="1" applyBorder="1" applyAlignment="1" applyProtection="1">
      <alignment horizontal="center" vertical="top" wrapText="1"/>
      <protection/>
    </xf>
    <xf numFmtId="181" fontId="15" fillId="33" borderId="38" xfId="0" applyNumberFormat="1" applyFont="1" applyFill="1" applyBorder="1" applyAlignment="1" applyProtection="1">
      <alignment horizontal="right" vertical="top" wrapText="1" indent="1"/>
      <protection/>
    </xf>
    <xf numFmtId="181" fontId="15" fillId="33" borderId="44" xfId="0" applyNumberFormat="1" applyFont="1" applyFill="1" applyBorder="1" applyAlignment="1" applyProtection="1">
      <alignment horizontal="right" vertical="top" wrapText="1" indent="1"/>
      <protection/>
    </xf>
    <xf numFmtId="0" fontId="25" fillId="33" borderId="38" xfId="0" applyFont="1" applyFill="1" applyBorder="1" applyAlignment="1">
      <alignment horizontal="left" vertical="top" wrapText="1"/>
    </xf>
    <xf numFmtId="0" fontId="78" fillId="33" borderId="38" xfId="0" applyFont="1" applyFill="1" applyBorder="1" applyAlignment="1" applyProtection="1">
      <alignment vertical="top" wrapText="1"/>
      <protection/>
    </xf>
    <xf numFmtId="0" fontId="4" fillId="33" borderId="38" xfId="0" applyFont="1" applyFill="1" applyBorder="1" applyAlignment="1" applyProtection="1">
      <alignment horizontal="left" vertical="center" wrapText="1"/>
      <protection/>
    </xf>
    <xf numFmtId="0" fontId="16" fillId="36" borderId="0" xfId="0" applyNumberFormat="1" applyFont="1" applyFill="1" applyBorder="1" applyAlignment="1" applyProtection="1">
      <alignment horizontal="left" vertical="top" wrapText="1"/>
      <protection/>
    </xf>
    <xf numFmtId="0" fontId="4" fillId="0" borderId="38"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181" fontId="4" fillId="33" borderId="52" xfId="0" applyNumberFormat="1" applyFont="1" applyFill="1" applyBorder="1" applyAlignment="1" applyProtection="1">
      <alignment horizontal="center" vertical="center" wrapText="1"/>
      <protection/>
    </xf>
    <xf numFmtId="181" fontId="4" fillId="0" borderId="38" xfId="0" applyNumberFormat="1" applyFont="1" applyFill="1" applyBorder="1" applyAlignment="1" applyProtection="1">
      <alignment horizontal="center" vertical="center" wrapText="1"/>
      <protection/>
    </xf>
    <xf numFmtId="0" fontId="4" fillId="0" borderId="38" xfId="0" applyFont="1" applyFill="1" applyBorder="1" applyAlignment="1">
      <alignment horizontal="center" vertical="center" wrapText="1"/>
    </xf>
    <xf numFmtId="182" fontId="4" fillId="33" borderId="38" xfId="0" applyNumberFormat="1" applyFont="1" applyFill="1" applyBorder="1" applyAlignment="1" applyProtection="1">
      <alignment horizontal="center" vertical="center" wrapText="1"/>
      <protection/>
    </xf>
    <xf numFmtId="0" fontId="16" fillId="36" borderId="24" xfId="0" applyFont="1" applyFill="1" applyBorder="1" applyAlignment="1" applyProtection="1">
      <alignment horizontal="center" vertical="top" wrapText="1"/>
      <protection/>
    </xf>
    <xf numFmtId="181" fontId="4" fillId="0" borderId="44" xfId="0" applyNumberFormat="1" applyFont="1" applyFill="1" applyBorder="1" applyAlignment="1" applyProtection="1">
      <alignment horizontal="center" vertical="center" wrapText="1"/>
      <protection/>
    </xf>
    <xf numFmtId="0" fontId="16" fillId="36" borderId="25" xfId="0" applyFont="1" applyFill="1" applyBorder="1" applyAlignment="1" applyProtection="1">
      <alignment vertical="top" wrapText="1"/>
      <protection/>
    </xf>
    <xf numFmtId="181" fontId="4" fillId="0" borderId="53" xfId="0" applyNumberFormat="1" applyFont="1" applyFill="1" applyBorder="1" applyAlignment="1" applyProtection="1">
      <alignment horizontal="center" vertical="center" wrapText="1"/>
      <protection/>
    </xf>
    <xf numFmtId="0" fontId="4" fillId="33" borderId="38" xfId="0" applyFont="1" applyFill="1" applyBorder="1" applyAlignment="1" applyProtection="1">
      <alignment horizontal="center" vertical="center" wrapText="1"/>
      <protection/>
    </xf>
    <xf numFmtId="0" fontId="83" fillId="33" borderId="38" xfId="0" applyFont="1" applyFill="1" applyBorder="1" applyAlignment="1" applyProtection="1">
      <alignment horizontal="center" vertical="center" wrapText="1"/>
      <protection/>
    </xf>
    <xf numFmtId="182" fontId="25" fillId="0" borderId="38" xfId="42" applyNumberFormat="1" applyFont="1" applyBorder="1" applyAlignment="1">
      <alignment horizontal="center" vertical="center" wrapText="1"/>
    </xf>
    <xf numFmtId="187" fontId="82" fillId="0" borderId="44" xfId="0" applyNumberFormat="1" applyFont="1" applyBorder="1" applyAlignment="1">
      <alignment horizontal="center" vertical="center"/>
    </xf>
    <xf numFmtId="182" fontId="4" fillId="33" borderId="39" xfId="0" applyNumberFormat="1" applyFont="1" applyFill="1" applyBorder="1" applyAlignment="1" applyProtection="1">
      <alignment horizontal="center" vertical="center" wrapText="1"/>
      <protection/>
    </xf>
    <xf numFmtId="187" fontId="82" fillId="0" borderId="38" xfId="0" applyNumberFormat="1" applyFont="1" applyBorder="1" applyAlignment="1">
      <alignment horizontal="center" vertical="center"/>
    </xf>
    <xf numFmtId="0" fontId="82" fillId="0" borderId="38" xfId="0" applyFont="1" applyFill="1" applyBorder="1" applyAlignment="1">
      <alignment horizontal="center" vertical="center"/>
    </xf>
    <xf numFmtId="0" fontId="0" fillId="10" borderId="26" xfId="0" applyFill="1" applyBorder="1" applyAlignment="1">
      <alignment/>
    </xf>
    <xf numFmtId="0" fontId="0" fillId="10" borderId="27" xfId="0" applyFill="1" applyBorder="1" applyAlignment="1">
      <alignment/>
    </xf>
    <xf numFmtId="0" fontId="0" fillId="10" borderId="28" xfId="0" applyFill="1" applyBorder="1" applyAlignment="1">
      <alignment/>
    </xf>
    <xf numFmtId="0" fontId="2" fillId="33" borderId="38" xfId="0" applyFont="1" applyFill="1" applyBorder="1" applyAlignment="1">
      <alignment horizontal="left" vertical="center" wrapText="1"/>
    </xf>
    <xf numFmtId="0" fontId="4" fillId="0" borderId="38" xfId="0" applyFont="1" applyFill="1" applyBorder="1" applyAlignment="1">
      <alignment vertical="center" wrapText="1"/>
    </xf>
    <xf numFmtId="0" fontId="15" fillId="0" borderId="38" xfId="0" applyFont="1" applyFill="1" applyBorder="1" applyAlignment="1">
      <alignment vertical="center" wrapText="1"/>
    </xf>
    <xf numFmtId="0" fontId="4" fillId="0" borderId="38" xfId="0" applyFont="1" applyFill="1" applyBorder="1" applyAlignment="1">
      <alignment vertical="top" wrapText="1"/>
    </xf>
    <xf numFmtId="0" fontId="4" fillId="0" borderId="38" xfId="0" applyFont="1" applyFill="1" applyBorder="1" applyAlignment="1">
      <alignment horizontal="left" vertical="top" wrapText="1"/>
    </xf>
    <xf numFmtId="0" fontId="15" fillId="0" borderId="38" xfId="0" applyFont="1" applyFill="1" applyBorder="1" applyAlignment="1">
      <alignment wrapText="1"/>
    </xf>
    <xf numFmtId="0" fontId="4" fillId="0" borderId="38" xfId="0" applyFont="1" applyFill="1" applyBorder="1" applyAlignment="1">
      <alignment horizontal="left" vertical="center" wrapText="1"/>
    </xf>
    <xf numFmtId="0" fontId="4" fillId="33" borderId="38" xfId="0" applyFont="1" applyFill="1" applyBorder="1" applyAlignment="1">
      <alignment horizontal="left" vertical="top" wrapText="1"/>
    </xf>
    <xf numFmtId="0" fontId="15" fillId="33" borderId="38" xfId="0" applyFont="1" applyFill="1" applyBorder="1" applyAlignment="1">
      <alignment horizontal="left" vertical="top" wrapText="1"/>
    </xf>
    <xf numFmtId="0" fontId="15" fillId="33" borderId="53" xfId="0" applyFont="1" applyFill="1" applyBorder="1" applyAlignment="1">
      <alignment horizontal="left" vertical="top" wrapText="1"/>
    </xf>
    <xf numFmtId="0" fontId="4" fillId="33" borderId="38" xfId="0" applyFont="1" applyFill="1" applyBorder="1" applyAlignment="1">
      <alignment wrapText="1"/>
    </xf>
    <xf numFmtId="0" fontId="4" fillId="33" borderId="38" xfId="0" applyFont="1" applyFill="1" applyBorder="1" applyAlignment="1">
      <alignment vertical="center" wrapText="1"/>
    </xf>
    <xf numFmtId="0" fontId="28" fillId="33" borderId="38" xfId="0" applyFont="1" applyFill="1" applyBorder="1" applyAlignment="1">
      <alignment horizontal="center" vertical="center" wrapText="1"/>
    </xf>
    <xf numFmtId="0" fontId="71" fillId="36" borderId="23" xfId="0" applyFont="1" applyFill="1" applyBorder="1" applyAlignment="1">
      <alignment/>
    </xf>
    <xf numFmtId="0" fontId="28" fillId="33" borderId="5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33" borderId="38"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28" fillId="33" borderId="44" xfId="0" applyFont="1" applyFill="1" applyBorder="1" applyAlignment="1">
      <alignment horizontal="center" vertical="center" wrapText="1"/>
    </xf>
    <xf numFmtId="0" fontId="4" fillId="33" borderId="44" xfId="0" applyFont="1" applyFill="1" applyBorder="1" applyAlignment="1">
      <alignment horizontal="center" vertical="center"/>
    </xf>
    <xf numFmtId="0" fontId="82" fillId="0" borderId="0" xfId="0" applyFont="1" applyFill="1" applyBorder="1" applyAlignment="1">
      <alignment/>
    </xf>
    <xf numFmtId="0" fontId="82" fillId="36" borderId="23" xfId="0" applyFont="1" applyFill="1" applyBorder="1" applyAlignment="1">
      <alignment/>
    </xf>
    <xf numFmtId="0" fontId="29" fillId="36" borderId="0" xfId="0" applyFont="1" applyFill="1" applyBorder="1" applyAlignment="1" applyProtection="1">
      <alignment horizontal="left" vertical="top" wrapText="1"/>
      <protection/>
    </xf>
    <xf numFmtId="0" fontId="29" fillId="36" borderId="54" xfId="0" applyFont="1" applyFill="1" applyBorder="1" applyAlignment="1" applyProtection="1">
      <alignment horizontal="left" vertical="top" wrapText="1"/>
      <protection/>
    </xf>
    <xf numFmtId="0" fontId="4" fillId="33" borderId="38" xfId="0" applyFont="1" applyFill="1" applyBorder="1" applyAlignment="1" applyProtection="1">
      <alignment horizontal="left" vertical="top" wrapText="1"/>
      <protection/>
    </xf>
    <xf numFmtId="0" fontId="4" fillId="33" borderId="53" xfId="0" applyFont="1" applyFill="1" applyBorder="1" applyAlignment="1">
      <alignment horizontal="left" vertical="top" wrapText="1"/>
    </xf>
    <xf numFmtId="0" fontId="4" fillId="0" borderId="38" xfId="0" applyFont="1" applyFill="1" applyBorder="1" applyAlignment="1" applyProtection="1">
      <alignment horizontal="left" vertical="top" wrapText="1"/>
      <protection/>
    </xf>
    <xf numFmtId="0" fontId="4" fillId="36" borderId="0" xfId="0" applyFont="1" applyFill="1" applyBorder="1" applyAlignment="1" applyProtection="1">
      <alignment horizontal="left" vertical="top" wrapText="1"/>
      <protection/>
    </xf>
    <xf numFmtId="0" fontId="28" fillId="40" borderId="38" xfId="0" applyNumberFormat="1" applyFont="1" applyFill="1" applyBorder="1" applyAlignment="1">
      <alignment horizontal="left" vertical="top" wrapText="1"/>
    </xf>
    <xf numFmtId="0" fontId="29" fillId="37" borderId="14" xfId="0" applyFont="1" applyFill="1" applyBorder="1" applyAlignment="1" applyProtection="1">
      <alignment horizontal="center" vertical="top" wrapText="1"/>
      <protection/>
    </xf>
    <xf numFmtId="0" fontId="29" fillId="37" borderId="21" xfId="0" applyFont="1" applyFill="1" applyBorder="1" applyAlignment="1" applyProtection="1">
      <alignment horizontal="center" vertical="top" wrapText="1"/>
      <protection/>
    </xf>
    <xf numFmtId="0" fontId="82" fillId="10" borderId="27" xfId="0" applyFont="1" applyFill="1" applyBorder="1" applyAlignment="1">
      <alignment/>
    </xf>
    <xf numFmtId="181" fontId="4" fillId="41" borderId="39" xfId="0" applyNumberFormat="1" applyFont="1" applyFill="1" applyBorder="1" applyAlignment="1" applyProtection="1">
      <alignment horizontal="center" vertical="center" wrapText="1"/>
      <protection/>
    </xf>
    <xf numFmtId="181" fontId="4" fillId="41" borderId="38" xfId="0" applyNumberFormat="1" applyFont="1" applyFill="1" applyBorder="1" applyAlignment="1" applyProtection="1">
      <alignment horizontal="center" vertical="center" wrapText="1"/>
      <protection/>
    </xf>
    <xf numFmtId="0" fontId="2" fillId="33" borderId="18" xfId="0" applyFont="1" applyFill="1" applyBorder="1" applyAlignment="1" applyProtection="1">
      <alignment horizontal="left"/>
      <protection/>
    </xf>
    <xf numFmtId="0" fontId="2" fillId="33" borderId="15" xfId="0" applyFont="1" applyFill="1" applyBorder="1" applyAlignment="1" applyProtection="1">
      <alignment horizontal="left"/>
      <protection/>
    </xf>
    <xf numFmtId="0" fontId="3" fillId="10" borderId="24" xfId="0" applyFont="1" applyFill="1" applyBorder="1" applyAlignment="1" applyProtection="1">
      <alignment horizontal="right" wrapText="1"/>
      <protection/>
    </xf>
    <xf numFmtId="0" fontId="3" fillId="10" borderId="25"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4" xfId="0" applyFont="1" applyFill="1" applyBorder="1" applyAlignment="1" applyProtection="1">
      <alignment horizontal="right" vertical="top" wrapText="1"/>
      <protection/>
    </xf>
    <xf numFmtId="0" fontId="3" fillId="10" borderId="25" xfId="0"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0" fontId="2" fillId="33" borderId="45" xfId="0" applyFont="1" applyFill="1" applyBorder="1" applyAlignment="1" applyProtection="1">
      <alignment vertical="top" wrapText="1"/>
      <protection locked="0"/>
    </xf>
    <xf numFmtId="0" fontId="2" fillId="33" borderId="21" xfId="0" applyFont="1" applyFill="1" applyBorder="1" applyAlignment="1" applyProtection="1">
      <alignment vertical="top" wrapText="1"/>
      <protection locked="0"/>
    </xf>
    <xf numFmtId="0" fontId="2" fillId="33" borderId="19" xfId="0" applyFont="1" applyFill="1" applyBorder="1" applyAlignment="1" applyProtection="1">
      <alignment vertical="top" wrapText="1"/>
      <protection locked="0"/>
    </xf>
    <xf numFmtId="3" fontId="2" fillId="33" borderId="45" xfId="0" applyNumberFormat="1" applyFont="1" applyFill="1" applyBorder="1" applyAlignment="1" applyProtection="1">
      <alignment vertical="top" wrapText="1"/>
      <protection locked="0"/>
    </xf>
    <xf numFmtId="3" fontId="2" fillId="33" borderId="21" xfId="0" applyNumberFormat="1" applyFont="1" applyFill="1" applyBorder="1" applyAlignment="1" applyProtection="1">
      <alignment vertical="top" wrapText="1"/>
      <protection locked="0"/>
    </xf>
    <xf numFmtId="3" fontId="2" fillId="33" borderId="19"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10" borderId="27"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34" xfId="0" applyFont="1" applyFill="1" applyBorder="1" applyAlignment="1" applyProtection="1">
      <alignment horizontal="center" vertical="center" wrapText="1"/>
      <protection/>
    </xf>
    <xf numFmtId="0" fontId="2" fillId="33" borderId="55" xfId="0" applyFont="1" applyFill="1" applyBorder="1" applyAlignment="1" applyProtection="1">
      <alignment horizontal="center" vertical="center" wrapText="1"/>
      <protection/>
    </xf>
    <xf numFmtId="0" fontId="2" fillId="33" borderId="47"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3" fillId="33" borderId="56"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5" fillId="33" borderId="45" xfId="0" applyFont="1" applyFill="1" applyBorder="1" applyAlignment="1" applyProtection="1">
      <alignment horizontal="left" vertical="top" wrapText="1"/>
      <protection locked="0"/>
    </xf>
    <xf numFmtId="0" fontId="15" fillId="33" borderId="21" xfId="0" applyFont="1" applyFill="1" applyBorder="1" applyAlignment="1" applyProtection="1">
      <alignment horizontal="left" vertical="top" wrapText="1"/>
      <protection locked="0"/>
    </xf>
    <xf numFmtId="0" fontId="15" fillId="33" borderId="19"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vertical="top" wrapText="1"/>
      <protection/>
    </xf>
    <xf numFmtId="0" fontId="3" fillId="33" borderId="56" xfId="0" applyFont="1" applyFill="1" applyBorder="1" applyAlignment="1" applyProtection="1">
      <alignment horizontal="center" vertical="top" wrapText="1"/>
      <protection/>
    </xf>
    <xf numFmtId="0" fontId="3" fillId="33" borderId="44" xfId="0" applyFont="1" applyFill="1" applyBorder="1" applyAlignment="1" applyProtection="1">
      <alignment horizontal="center" vertical="top" wrapText="1"/>
      <protection/>
    </xf>
    <xf numFmtId="0" fontId="14" fillId="33" borderId="45" xfId="0" applyFont="1" applyFill="1" applyBorder="1" applyAlignment="1" applyProtection="1">
      <alignment horizontal="center"/>
      <protection/>
    </xf>
    <xf numFmtId="0" fontId="14" fillId="33" borderId="21" xfId="0" applyFont="1" applyFill="1" applyBorder="1" applyAlignment="1" applyProtection="1">
      <alignment horizontal="center"/>
      <protection/>
    </xf>
    <xf numFmtId="0" fontId="14" fillId="33" borderId="19" xfId="0" applyFont="1" applyFill="1" applyBorder="1" applyAlignment="1" applyProtection="1">
      <alignment horizontal="center"/>
      <protection/>
    </xf>
    <xf numFmtId="0" fontId="3" fillId="33" borderId="45" xfId="0" applyFont="1" applyFill="1" applyBorder="1" applyAlignment="1" applyProtection="1">
      <alignment horizontal="center" vertical="top" wrapText="1"/>
      <protection/>
    </xf>
    <xf numFmtId="0" fontId="3" fillId="33" borderId="21" xfId="0" applyFont="1" applyFill="1" applyBorder="1" applyAlignment="1" applyProtection="1">
      <alignment horizontal="center" vertical="top" wrapText="1"/>
      <protection/>
    </xf>
    <xf numFmtId="0" fontId="3" fillId="33" borderId="19"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0" fillId="10" borderId="24"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4" fontId="16" fillId="0" borderId="45" xfId="0" applyNumberFormat="1" applyFont="1" applyFill="1" applyBorder="1" applyAlignment="1" applyProtection="1">
      <alignment horizontal="left" vertical="center" wrapText="1"/>
      <protection locked="0"/>
    </xf>
    <xf numFmtId="4" fontId="16" fillId="0" borderId="21" xfId="0" applyNumberFormat="1" applyFont="1" applyFill="1" applyBorder="1" applyAlignment="1" applyProtection="1">
      <alignment horizontal="left" vertical="center" wrapText="1"/>
      <protection locked="0"/>
    </xf>
    <xf numFmtId="4" fontId="16" fillId="0" borderId="19" xfId="0" applyNumberFormat="1" applyFont="1" applyFill="1" applyBorder="1" applyAlignment="1" applyProtection="1">
      <alignment horizontal="left" vertical="center" wrapText="1"/>
      <protection locked="0"/>
    </xf>
    <xf numFmtId="0" fontId="82" fillId="0" borderId="0" xfId="0" applyFont="1" applyFill="1" applyBorder="1" applyAlignment="1">
      <alignment horizontal="left" vertical="center" wrapText="1"/>
    </xf>
    <xf numFmtId="0" fontId="4" fillId="0" borderId="53" xfId="0" applyFont="1" applyFill="1" applyBorder="1" applyAlignment="1" applyProtection="1">
      <alignment horizontal="left" vertical="top" wrapText="1"/>
      <protection/>
    </xf>
    <xf numFmtId="0" fontId="4" fillId="0" borderId="57" xfId="0" applyFont="1" applyFill="1" applyBorder="1" applyAlignment="1" applyProtection="1">
      <alignment horizontal="left" vertical="top" wrapText="1"/>
      <protection/>
    </xf>
    <xf numFmtId="0" fontId="4" fillId="0" borderId="58" xfId="0" applyFont="1" applyFill="1" applyBorder="1" applyAlignment="1" applyProtection="1">
      <alignment horizontal="left" vertical="top" wrapText="1"/>
      <protection/>
    </xf>
    <xf numFmtId="0" fontId="4" fillId="0" borderId="53" xfId="0" applyFont="1" applyFill="1" applyBorder="1" applyAlignment="1" applyProtection="1">
      <alignment horizontal="left" vertical="center" wrapText="1"/>
      <protection/>
    </xf>
    <xf numFmtId="0" fontId="4" fillId="0" borderId="57" xfId="0" applyFont="1" applyFill="1" applyBorder="1" applyAlignment="1" applyProtection="1">
      <alignment horizontal="left" vertical="center" wrapText="1"/>
      <protection/>
    </xf>
    <xf numFmtId="0" fontId="4" fillId="0" borderId="58" xfId="0" applyFont="1" applyFill="1" applyBorder="1" applyAlignment="1" applyProtection="1">
      <alignment horizontal="left" vertical="center" wrapText="1"/>
      <protection/>
    </xf>
    <xf numFmtId="0" fontId="14" fillId="37" borderId="45" xfId="0" applyFont="1" applyFill="1" applyBorder="1" applyAlignment="1" applyProtection="1">
      <alignment horizontal="center"/>
      <protection/>
    </xf>
    <xf numFmtId="0" fontId="14" fillId="37" borderId="21" xfId="0" applyFont="1" applyFill="1" applyBorder="1" applyAlignment="1" applyProtection="1">
      <alignment horizontal="center"/>
      <protection/>
    </xf>
    <xf numFmtId="0" fontId="14" fillId="37" borderId="19" xfId="0" applyFont="1" applyFill="1" applyBorder="1" applyAlignment="1" applyProtection="1">
      <alignment horizontal="center"/>
      <protection/>
    </xf>
    <xf numFmtId="0" fontId="15" fillId="36" borderId="24" xfId="0" applyFont="1" applyFill="1" applyBorder="1" applyAlignment="1" applyProtection="1">
      <alignment horizontal="center" wrapText="1"/>
      <protection/>
    </xf>
    <xf numFmtId="0" fontId="15" fillId="36" borderId="0" xfId="0" applyFont="1" applyFill="1" applyBorder="1" applyAlignment="1" applyProtection="1">
      <alignment horizontal="center" wrapText="1"/>
      <protection/>
    </xf>
    <xf numFmtId="0" fontId="29" fillId="36" borderId="0" xfId="0" applyFont="1" applyFill="1" applyBorder="1" applyAlignment="1" applyProtection="1">
      <alignment horizontal="left" vertical="top" wrapText="1"/>
      <protection/>
    </xf>
    <xf numFmtId="0" fontId="16" fillId="36" borderId="0" xfId="0" applyFont="1" applyFill="1" applyBorder="1" applyAlignment="1" applyProtection="1">
      <alignment horizontal="left" vertical="top" wrapText="1"/>
      <protection/>
    </xf>
    <xf numFmtId="0" fontId="24" fillId="12" borderId="39" xfId="0" applyFont="1" applyFill="1" applyBorder="1" applyAlignment="1">
      <alignment horizontal="left" vertical="center" wrapText="1"/>
    </xf>
    <xf numFmtId="0" fontId="24" fillId="12" borderId="40" xfId="0" applyFont="1" applyFill="1" applyBorder="1" applyAlignment="1">
      <alignment horizontal="left" vertical="center" wrapText="1"/>
    </xf>
    <xf numFmtId="0" fontId="24" fillId="12" borderId="44" xfId="0" applyFont="1" applyFill="1" applyBorder="1" applyAlignment="1">
      <alignment horizontal="left" vertical="center" wrapText="1"/>
    </xf>
    <xf numFmtId="0" fontId="27" fillId="10" borderId="0" xfId="0" applyFont="1" applyFill="1" applyBorder="1" applyAlignment="1" applyProtection="1">
      <alignment horizontal="left"/>
      <protection/>
    </xf>
    <xf numFmtId="0" fontId="16" fillId="10" borderId="0" xfId="0" applyFont="1" applyFill="1" applyBorder="1" applyAlignment="1" applyProtection="1">
      <alignment horizontal="left"/>
      <protection/>
    </xf>
    <xf numFmtId="0" fontId="16" fillId="10" borderId="25" xfId="0" applyFont="1" applyFill="1" applyBorder="1" applyAlignment="1" applyProtection="1">
      <alignment horizontal="left"/>
      <protection/>
    </xf>
    <xf numFmtId="0" fontId="4" fillId="0" borderId="53"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3"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33" borderId="53"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11" fillId="36" borderId="0" xfId="0" applyFont="1" applyFill="1" applyBorder="1" applyAlignment="1" applyProtection="1">
      <alignment horizontal="left" vertical="center" wrapText="1"/>
      <protection/>
    </xf>
    <xf numFmtId="0" fontId="24" fillId="12" borderId="59" xfId="0" applyFont="1" applyFill="1" applyBorder="1" applyAlignment="1">
      <alignment horizontal="left" vertical="center" wrapText="1"/>
    </xf>
    <xf numFmtId="0" fontId="24" fillId="12" borderId="0" xfId="0" applyFont="1" applyFill="1" applyBorder="1" applyAlignment="1">
      <alignment horizontal="left" vertical="center" wrapText="1"/>
    </xf>
    <xf numFmtId="0" fontId="24" fillId="12" borderId="25" xfId="0" applyFont="1" applyFill="1" applyBorder="1" applyAlignment="1">
      <alignment horizontal="left" vertical="center" wrapText="1"/>
    </xf>
    <xf numFmtId="0" fontId="4" fillId="0" borderId="38" xfId="0" applyFont="1" applyFill="1" applyBorder="1" applyAlignment="1" applyProtection="1">
      <alignment horizontal="center" vertical="center" wrapText="1"/>
      <protection/>
    </xf>
    <xf numFmtId="181" fontId="4" fillId="0" borderId="38" xfId="0" applyNumberFormat="1" applyFont="1" applyFill="1" applyBorder="1" applyAlignment="1" applyProtection="1">
      <alignment horizontal="center" vertical="center" wrapText="1"/>
      <protection/>
    </xf>
    <xf numFmtId="0" fontId="4" fillId="0" borderId="38" xfId="0" applyFont="1" applyFill="1" applyBorder="1" applyAlignment="1">
      <alignment horizontal="center" vertical="center" wrapText="1"/>
    </xf>
    <xf numFmtId="182" fontId="4" fillId="0" borderId="38" xfId="0" applyNumberFormat="1" applyFont="1" applyFill="1" applyBorder="1" applyAlignment="1" applyProtection="1">
      <alignment horizontal="center" vertical="center" wrapText="1"/>
      <protection/>
    </xf>
    <xf numFmtId="0" fontId="82" fillId="0" borderId="38" xfId="0" applyFont="1" applyBorder="1" applyAlignment="1">
      <alignment horizontal="center" vertical="center" wrapText="1"/>
    </xf>
    <xf numFmtId="0" fontId="82" fillId="0" borderId="38" xfId="0" applyFont="1" applyFill="1" applyBorder="1" applyAlignment="1">
      <alignment horizontal="center" vertical="center" wrapText="1"/>
    </xf>
    <xf numFmtId="0" fontId="4" fillId="0" borderId="53" xfId="0" applyFont="1" applyFill="1" applyBorder="1" applyAlignment="1" applyProtection="1">
      <alignment horizontal="center" vertical="center" wrapText="1"/>
      <protection/>
    </xf>
    <xf numFmtId="0" fontId="4" fillId="0" borderId="57" xfId="0" applyFont="1" applyFill="1" applyBorder="1" applyAlignment="1" applyProtection="1">
      <alignment horizontal="center" vertical="center" wrapText="1"/>
      <protection/>
    </xf>
    <xf numFmtId="0" fontId="4" fillId="0" borderId="58" xfId="0" applyFont="1" applyFill="1" applyBorder="1" applyAlignment="1" applyProtection="1">
      <alignment horizontal="center" vertical="center" wrapText="1"/>
      <protection/>
    </xf>
    <xf numFmtId="0" fontId="28" fillId="33" borderId="3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28" fillId="33" borderId="53" xfId="0" applyFont="1" applyFill="1" applyBorder="1" applyAlignment="1">
      <alignment horizontal="center" vertical="center" wrapText="1"/>
    </xf>
    <xf numFmtId="0" fontId="28" fillId="33" borderId="58" xfId="0" applyFont="1" applyFill="1" applyBorder="1" applyAlignment="1">
      <alignment horizontal="center" vertical="center" wrapText="1"/>
    </xf>
    <xf numFmtId="181" fontId="4" fillId="0" borderId="53" xfId="0" applyNumberFormat="1" applyFont="1" applyFill="1" applyBorder="1" applyAlignment="1" applyProtection="1">
      <alignment horizontal="center" vertical="center" wrapText="1"/>
      <protection/>
    </xf>
    <xf numFmtId="181" fontId="4" fillId="0" borderId="58" xfId="0" applyNumberFormat="1" applyFont="1" applyFill="1" applyBorder="1" applyAlignment="1" applyProtection="1">
      <alignment horizontal="center" vertical="center" wrapText="1"/>
      <protection/>
    </xf>
    <xf numFmtId="181" fontId="4" fillId="0" borderId="52" xfId="0" applyNumberFormat="1" applyFont="1" applyFill="1" applyBorder="1" applyAlignment="1" applyProtection="1">
      <alignment horizontal="center" vertical="center" wrapText="1"/>
      <protection/>
    </xf>
    <xf numFmtId="181" fontId="4" fillId="0" borderId="60" xfId="0" applyNumberFormat="1" applyFont="1" applyFill="1" applyBorder="1" applyAlignment="1" applyProtection="1">
      <alignment horizontal="center" vertical="center" wrapText="1"/>
      <protection/>
    </xf>
    <xf numFmtId="181" fontId="4" fillId="0" borderId="61" xfId="0" applyNumberFormat="1" applyFont="1" applyFill="1" applyBorder="1" applyAlignment="1" applyProtection="1">
      <alignment horizontal="center" vertical="center" wrapText="1"/>
      <protection/>
    </xf>
    <xf numFmtId="0" fontId="28" fillId="33" borderId="43" xfId="0" applyFont="1" applyFill="1" applyBorder="1" applyAlignment="1">
      <alignment horizontal="center" vertical="center" wrapText="1"/>
    </xf>
    <xf numFmtId="0" fontId="28" fillId="33" borderId="62" xfId="0" applyFont="1" applyFill="1" applyBorder="1" applyAlignment="1">
      <alignment horizontal="center" vertical="center" wrapText="1"/>
    </xf>
    <xf numFmtId="181" fontId="4" fillId="0" borderId="57" xfId="0" applyNumberFormat="1" applyFont="1" applyFill="1" applyBorder="1" applyAlignment="1" applyProtection="1">
      <alignment horizontal="center" vertical="center" wrapText="1"/>
      <protection/>
    </xf>
    <xf numFmtId="0" fontId="4" fillId="0" borderId="38" xfId="0" applyFont="1" applyFill="1" applyBorder="1" applyAlignment="1">
      <alignment horizontal="center" vertical="center"/>
    </xf>
    <xf numFmtId="182" fontId="4" fillId="0" borderId="53" xfId="0" applyNumberFormat="1" applyFont="1" applyFill="1" applyBorder="1" applyAlignment="1" applyProtection="1">
      <alignment horizontal="center" vertical="center" wrapText="1"/>
      <protection/>
    </xf>
    <xf numFmtId="182" fontId="4" fillId="0" borderId="57" xfId="0" applyNumberFormat="1" applyFont="1" applyFill="1" applyBorder="1" applyAlignment="1" applyProtection="1">
      <alignment horizontal="center" vertical="center" wrapText="1"/>
      <protection/>
    </xf>
    <xf numFmtId="182" fontId="4" fillId="0" borderId="58" xfId="0" applyNumberFormat="1" applyFont="1" applyFill="1" applyBorder="1" applyAlignment="1" applyProtection="1">
      <alignment horizontal="center" vertical="center" wrapText="1"/>
      <protection/>
    </xf>
    <xf numFmtId="0" fontId="4" fillId="33" borderId="53"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3" xfId="0" applyFont="1" applyFill="1" applyBorder="1" applyAlignment="1" applyProtection="1">
      <alignment horizontal="center" vertical="center" wrapText="1"/>
      <protection/>
    </xf>
    <xf numFmtId="0" fontId="4" fillId="33" borderId="57" xfId="0" applyFont="1" applyFill="1" applyBorder="1" applyAlignment="1" applyProtection="1">
      <alignment horizontal="center" vertical="center" wrapText="1"/>
      <protection/>
    </xf>
    <xf numFmtId="0" fontId="4" fillId="33" borderId="58" xfId="0" applyFont="1" applyFill="1" applyBorder="1" applyAlignment="1" applyProtection="1">
      <alignment horizontal="center" vertical="center" wrapText="1"/>
      <protection/>
    </xf>
    <xf numFmtId="182" fontId="25" fillId="0" borderId="53" xfId="42" applyNumberFormat="1" applyFont="1" applyBorder="1" applyAlignment="1">
      <alignment horizontal="center" vertical="center" wrapText="1"/>
    </xf>
    <xf numFmtId="182" fontId="25" fillId="0" borderId="58" xfId="42" applyNumberFormat="1" applyFont="1" applyBorder="1" applyAlignment="1">
      <alignment horizontal="center" vertical="center" wrapText="1"/>
    </xf>
    <xf numFmtId="0" fontId="4" fillId="33" borderId="38" xfId="0" applyFont="1" applyFill="1" applyBorder="1" applyAlignment="1" applyProtection="1">
      <alignment horizontal="center" vertical="center" wrapText="1"/>
      <protection/>
    </xf>
    <xf numFmtId="182" fontId="25" fillId="0" borderId="38" xfId="42" applyNumberFormat="1" applyFont="1" applyBorder="1" applyAlignment="1">
      <alignment horizontal="center" vertical="center" wrapText="1"/>
    </xf>
    <xf numFmtId="182" fontId="25" fillId="0" borderId="57" xfId="42" applyNumberFormat="1" applyFont="1" applyBorder="1" applyAlignment="1">
      <alignment horizontal="center" vertical="center" wrapText="1"/>
    </xf>
    <xf numFmtId="187" fontId="82" fillId="0" borderId="38" xfId="0" applyNumberFormat="1" applyFont="1" applyBorder="1" applyAlignment="1">
      <alignment horizontal="center" vertical="center" wrapText="1"/>
    </xf>
    <xf numFmtId="181" fontId="4" fillId="0" borderId="38" xfId="0" applyNumberFormat="1" applyFont="1" applyFill="1" applyBorder="1" applyAlignment="1">
      <alignment horizontal="center" vertical="center"/>
    </xf>
    <xf numFmtId="181" fontId="4" fillId="41" borderId="53" xfId="0" applyNumberFormat="1" applyFont="1" applyFill="1" applyBorder="1" applyAlignment="1" applyProtection="1">
      <alignment horizontal="center" vertical="center" wrapText="1"/>
      <protection/>
    </xf>
    <xf numFmtId="181" fontId="4" fillId="41" borderId="58" xfId="0" applyNumberFormat="1" applyFont="1" applyFill="1" applyBorder="1" applyAlignment="1" applyProtection="1">
      <alignment horizontal="center" vertical="center" wrapText="1"/>
      <protection/>
    </xf>
    <xf numFmtId="181" fontId="4" fillId="41" borderId="57" xfId="0" applyNumberFormat="1" applyFont="1" applyFill="1" applyBorder="1" applyAlignment="1" applyProtection="1">
      <alignment horizontal="center" vertical="center" wrapText="1"/>
      <protection/>
    </xf>
    <xf numFmtId="181" fontId="4" fillId="41" borderId="39" xfId="0" applyNumberFormat="1" applyFont="1" applyFill="1" applyBorder="1" applyAlignment="1" applyProtection="1">
      <alignment horizontal="center" vertical="center" wrapText="1"/>
      <protection/>
    </xf>
    <xf numFmtId="0" fontId="28" fillId="40" borderId="53" xfId="0" applyNumberFormat="1" applyFont="1" applyFill="1" applyBorder="1" applyAlignment="1">
      <alignment horizontal="center" vertical="center" wrapText="1"/>
    </xf>
    <xf numFmtId="0" fontId="28" fillId="40" borderId="57" xfId="0" applyNumberFormat="1" applyFont="1" applyFill="1" applyBorder="1" applyAlignment="1">
      <alignment horizontal="center" vertical="center" wrapText="1"/>
    </xf>
    <xf numFmtId="0" fontId="28" fillId="40" borderId="58" xfId="0" applyNumberFormat="1" applyFont="1" applyFill="1" applyBorder="1" applyAlignment="1">
      <alignment horizontal="center" vertical="center" wrapText="1"/>
    </xf>
    <xf numFmtId="181" fontId="4" fillId="0" borderId="43" xfId="0" applyNumberFormat="1" applyFont="1" applyFill="1" applyBorder="1" applyAlignment="1" applyProtection="1">
      <alignment horizontal="center" vertical="center" wrapText="1"/>
      <protection/>
    </xf>
    <xf numFmtId="181" fontId="4" fillId="0" borderId="59" xfId="0" applyNumberFormat="1" applyFont="1" applyFill="1" applyBorder="1" applyAlignment="1" applyProtection="1">
      <alignment horizontal="center" vertical="center" wrapText="1"/>
      <protection/>
    </xf>
    <xf numFmtId="181" fontId="4" fillId="0" borderId="62" xfId="0" applyNumberFormat="1" applyFont="1" applyFill="1" applyBorder="1" applyAlignment="1" applyProtection="1">
      <alignment horizontal="center" vertical="center" wrapText="1"/>
      <protection/>
    </xf>
    <xf numFmtId="0" fontId="82" fillId="0" borderId="53" xfId="0" applyFont="1" applyFill="1" applyBorder="1" applyAlignment="1">
      <alignment horizontal="center" vertical="center"/>
    </xf>
    <xf numFmtId="0" fontId="82" fillId="0" borderId="57" xfId="0" applyFont="1" applyFill="1" applyBorder="1" applyAlignment="1">
      <alignment horizontal="center" vertical="center"/>
    </xf>
    <xf numFmtId="0" fontId="82" fillId="0" borderId="58" xfId="0" applyFont="1" applyFill="1" applyBorder="1" applyAlignment="1">
      <alignment horizontal="center" vertical="center"/>
    </xf>
    <xf numFmtId="0" fontId="15" fillId="10" borderId="24"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10" borderId="0" xfId="0" applyFont="1" applyFill="1" applyBorder="1" applyAlignment="1" applyProtection="1">
      <alignment horizontal="center"/>
      <protection/>
    </xf>
    <xf numFmtId="0" fontId="16"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6" fillId="33" borderId="33" xfId="0" applyFont="1" applyFill="1" applyBorder="1" applyAlignment="1" applyProtection="1">
      <alignment horizontal="center" vertical="top" wrapText="1"/>
      <protection/>
    </xf>
    <xf numFmtId="0" fontId="16" fillId="33" borderId="17" xfId="0" applyFont="1" applyFill="1" applyBorder="1" applyAlignment="1" applyProtection="1">
      <alignment horizontal="center" vertical="top" wrapText="1"/>
      <protection/>
    </xf>
    <xf numFmtId="0" fontId="15" fillId="0" borderId="45" xfId="0" applyFont="1" applyFill="1" applyBorder="1" applyAlignment="1" applyProtection="1">
      <alignment horizontal="left" vertical="top" wrapText="1"/>
      <protection/>
    </xf>
    <xf numFmtId="0" fontId="15" fillId="0" borderId="19" xfId="0" applyFont="1" applyFill="1" applyBorder="1" applyAlignment="1" applyProtection="1">
      <alignment horizontal="left" vertical="top" wrapText="1"/>
      <protection/>
    </xf>
    <xf numFmtId="0" fontId="15" fillId="0" borderId="31" xfId="0" applyFont="1" applyFill="1" applyBorder="1" applyAlignment="1" applyProtection="1">
      <alignment horizontal="left" vertical="top" wrapText="1"/>
      <protection/>
    </xf>
    <xf numFmtId="0" fontId="15" fillId="0" borderId="29" xfId="0" applyFont="1" applyFill="1" applyBorder="1" applyAlignment="1" applyProtection="1">
      <alignment horizontal="left" vertical="top" wrapText="1"/>
      <protection/>
    </xf>
    <xf numFmtId="0" fontId="15" fillId="0" borderId="15" xfId="0" applyFont="1" applyFill="1" applyBorder="1" applyAlignment="1" applyProtection="1">
      <alignment horizontal="left" vertical="top" wrapText="1"/>
      <protection/>
    </xf>
    <xf numFmtId="0" fontId="15" fillId="0" borderId="45" xfId="0" applyFont="1" applyFill="1" applyBorder="1" applyAlignment="1" applyProtection="1">
      <alignment vertical="top" wrapText="1"/>
      <protection/>
    </xf>
    <xf numFmtId="0" fontId="15" fillId="0" borderId="19" xfId="0" applyFont="1" applyFill="1" applyBorder="1" applyAlignment="1" applyProtection="1">
      <alignment vertical="top" wrapText="1"/>
      <protection/>
    </xf>
    <xf numFmtId="0" fontId="15" fillId="0" borderId="63" xfId="0" applyFont="1" applyFill="1" applyBorder="1" applyAlignment="1" applyProtection="1">
      <alignment horizontal="left" vertical="top" wrapText="1"/>
      <protection/>
    </xf>
    <xf numFmtId="0" fontId="15" fillId="0" borderId="64" xfId="0" applyFont="1" applyFill="1" applyBorder="1" applyAlignment="1" applyProtection="1">
      <alignment horizontal="left" vertical="top" wrapText="1"/>
      <protection/>
    </xf>
    <xf numFmtId="0" fontId="84" fillId="33" borderId="13" xfId="0" applyFont="1" applyFill="1" applyBorder="1" applyAlignment="1" applyProtection="1">
      <alignment horizontal="center" vertical="top" wrapText="1"/>
      <protection/>
    </xf>
    <xf numFmtId="0" fontId="84" fillId="33" borderId="41"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15" fillId="33" borderId="47" xfId="0" applyFont="1" applyFill="1" applyBorder="1" applyAlignment="1" applyProtection="1">
      <alignment horizontal="center" vertical="top" wrapText="1"/>
      <protection/>
    </xf>
    <xf numFmtId="0" fontId="15" fillId="33" borderId="46" xfId="0" applyFont="1" applyFill="1" applyBorder="1" applyAlignment="1" applyProtection="1">
      <alignment horizontal="center" vertical="top" wrapText="1"/>
      <protection/>
    </xf>
    <xf numFmtId="0" fontId="15" fillId="33" borderId="13" xfId="0" applyFont="1" applyFill="1" applyBorder="1" applyAlignment="1" applyProtection="1">
      <alignment horizontal="center" vertical="top" wrapText="1"/>
      <protection/>
    </xf>
    <xf numFmtId="0" fontId="15" fillId="33" borderId="41" xfId="0" applyFont="1" applyFill="1" applyBorder="1" applyAlignment="1" applyProtection="1">
      <alignment horizontal="center" vertical="top" wrapText="1"/>
      <protection/>
    </xf>
    <xf numFmtId="0" fontId="15" fillId="33" borderId="65"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5" fillId="0" borderId="21" xfId="0" applyFont="1" applyFill="1" applyBorder="1" applyAlignment="1" applyProtection="1">
      <alignment horizontal="left" vertical="top" wrapText="1"/>
      <protection/>
    </xf>
    <xf numFmtId="0" fontId="77" fillId="10" borderId="0" xfId="0" applyFont="1" applyFill="1" applyAlignment="1">
      <alignment horizontal="left" wrapText="1"/>
    </xf>
    <xf numFmtId="0" fontId="85" fillId="10" borderId="0" xfId="0" applyFont="1" applyFill="1" applyAlignment="1">
      <alignment horizontal="left"/>
    </xf>
    <xf numFmtId="0" fontId="77" fillId="10" borderId="0" xfId="0" applyFont="1" applyFill="1" applyAlignment="1">
      <alignment horizontal="left"/>
    </xf>
    <xf numFmtId="0" fontId="8" fillId="0" borderId="0" xfId="0" applyFont="1" applyFill="1" applyBorder="1" applyAlignment="1" applyProtection="1">
      <alignment horizontal="center" vertical="top" wrapText="1"/>
      <protection/>
    </xf>
    <xf numFmtId="0" fontId="15" fillId="0" borderId="13" xfId="57" applyFont="1" applyFill="1" applyBorder="1" applyAlignment="1">
      <alignment horizontal="left" vertical="top" wrapText="1"/>
      <protection/>
    </xf>
    <xf numFmtId="0" fontId="15" fillId="0" borderId="41" xfId="57" applyFont="1" applyFill="1" applyBorder="1" applyAlignment="1">
      <alignment horizontal="left" vertical="top" wrapText="1"/>
      <protection/>
    </xf>
    <xf numFmtId="0" fontId="15" fillId="0" borderId="56" xfId="0" applyFont="1" applyFill="1" applyBorder="1" applyAlignment="1" applyProtection="1">
      <alignment horizontal="left" vertical="top" wrapText="1"/>
      <protection/>
    </xf>
    <xf numFmtId="0" fontId="15" fillId="0" borderId="37" xfId="0" applyFont="1" applyFill="1" applyBorder="1" applyAlignment="1" applyProtection="1">
      <alignment horizontal="left" vertical="top" wrapText="1"/>
      <protection/>
    </xf>
    <xf numFmtId="0" fontId="15" fillId="0" borderId="56" xfId="57" applyNumberFormat="1" applyFont="1" applyFill="1" applyBorder="1" applyAlignment="1">
      <alignment horizontal="left" vertical="top" wrapText="1"/>
      <protection/>
    </xf>
    <xf numFmtId="0" fontId="15" fillId="0" borderId="37" xfId="57" applyNumberFormat="1" applyFont="1" applyFill="1" applyBorder="1" applyAlignment="1">
      <alignment horizontal="left" vertical="top" wrapText="1"/>
      <protection/>
    </xf>
    <xf numFmtId="4" fontId="15" fillId="0" borderId="13" xfId="57" applyNumberFormat="1" applyFont="1" applyFill="1" applyBorder="1" applyAlignment="1">
      <alignment horizontal="left" vertical="top" wrapText="1"/>
      <protection/>
    </xf>
    <xf numFmtId="4" fontId="15" fillId="0" borderId="41" xfId="57" applyNumberFormat="1" applyFont="1" applyFill="1" applyBorder="1" applyAlignment="1">
      <alignment horizontal="left" vertical="top" wrapText="1"/>
      <protection/>
    </xf>
    <xf numFmtId="0" fontId="15" fillId="0" borderId="22" xfId="0" applyFont="1" applyFill="1" applyBorder="1" applyAlignment="1" applyProtection="1">
      <alignment horizontal="left" vertical="center" wrapText="1"/>
      <protection/>
    </xf>
    <xf numFmtId="0" fontId="15" fillId="0" borderId="23" xfId="0" applyFont="1" applyFill="1" applyBorder="1" applyAlignment="1" applyProtection="1">
      <alignment horizontal="left" vertical="center" wrapText="1"/>
      <protection/>
    </xf>
    <xf numFmtId="0" fontId="11" fillId="10" borderId="23" xfId="0" applyFont="1" applyFill="1" applyBorder="1" applyAlignment="1" applyProtection="1">
      <alignment horizontal="center" wrapText="1"/>
      <protection/>
    </xf>
    <xf numFmtId="0" fontId="15" fillId="0" borderId="26" xfId="0" applyFont="1" applyFill="1" applyBorder="1" applyAlignment="1" applyProtection="1">
      <alignment horizontal="left" vertical="center" wrapText="1"/>
      <protection/>
    </xf>
    <xf numFmtId="0" fontId="15" fillId="0" borderId="28" xfId="0" applyFont="1" applyFill="1" applyBorder="1" applyAlignment="1" applyProtection="1">
      <alignment horizontal="left" vertical="center" wrapText="1"/>
      <protection/>
    </xf>
    <xf numFmtId="0" fontId="15" fillId="0" borderId="13"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0" fontId="3" fillId="10" borderId="0" xfId="0" applyFont="1" applyFill="1" applyBorder="1" applyAlignment="1" applyProtection="1">
      <alignment horizontal="center" vertical="center" wrapText="1"/>
      <protection/>
    </xf>
    <xf numFmtId="0" fontId="3" fillId="10" borderId="27" xfId="0" applyFont="1" applyFill="1" applyBorder="1" applyAlignment="1" applyProtection="1">
      <alignment horizontal="center" vertical="center" wrapText="1"/>
      <protection/>
    </xf>
    <xf numFmtId="0" fontId="15" fillId="0" borderId="56" xfId="0" applyFont="1" applyFill="1" applyBorder="1" applyAlignment="1" applyProtection="1">
      <alignment horizontal="left" vertical="center" wrapText="1"/>
      <protection/>
    </xf>
    <xf numFmtId="0" fontId="15" fillId="0" borderId="37" xfId="0" applyFont="1" applyFill="1" applyBorder="1" applyAlignment="1" applyProtection="1">
      <alignment horizontal="left" vertical="center" wrapText="1"/>
      <protection/>
    </xf>
    <xf numFmtId="0" fontId="15" fillId="0" borderId="63" xfId="0" applyFont="1" applyFill="1" applyBorder="1" applyAlignment="1" applyProtection="1">
      <alignment vertical="center" wrapText="1"/>
      <protection/>
    </xf>
    <xf numFmtId="0" fontId="15" fillId="0" borderId="64" xfId="0" applyFont="1" applyFill="1" applyBorder="1" applyAlignment="1" applyProtection="1">
      <alignment vertical="center" wrapText="1"/>
      <protection/>
    </xf>
    <xf numFmtId="0" fontId="2" fillId="0" borderId="22"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2" fillId="0" borderId="26" xfId="0" applyFont="1" applyFill="1" applyBorder="1" applyAlignment="1" applyProtection="1">
      <alignment horizontal="left" vertical="center" wrapText="1"/>
      <protection/>
    </xf>
    <xf numFmtId="0" fontId="2" fillId="0" borderId="28" xfId="0" applyFont="1" applyFill="1" applyBorder="1" applyAlignment="1" applyProtection="1">
      <alignment horizontal="left" vertical="center" wrapText="1"/>
      <protection/>
    </xf>
    <xf numFmtId="0" fontId="2" fillId="0" borderId="45"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top" wrapText="1"/>
      <protection/>
    </xf>
    <xf numFmtId="0" fontId="15" fillId="0" borderId="66" xfId="0" applyFont="1" applyFill="1" applyBorder="1" applyAlignment="1" applyProtection="1">
      <alignment horizontal="left" vertical="top" wrapText="1"/>
      <protection/>
    </xf>
    <xf numFmtId="0" fontId="15" fillId="0" borderId="67" xfId="0" applyFont="1" applyFill="1" applyBorder="1" applyAlignment="1" applyProtection="1">
      <alignment horizontal="left" vertical="top" wrapText="1"/>
      <protection/>
    </xf>
    <xf numFmtId="0" fontId="2" fillId="0" borderId="68" xfId="0" applyFont="1" applyFill="1" applyBorder="1" applyAlignment="1" applyProtection="1">
      <alignment horizontal="left" vertical="top" wrapText="1"/>
      <protection/>
    </xf>
    <xf numFmtId="0" fontId="2" fillId="0" borderId="48" xfId="0" applyFont="1" applyFill="1" applyBorder="1" applyAlignment="1" applyProtection="1">
      <alignment horizontal="left" vertical="top" wrapText="1"/>
      <protection/>
    </xf>
    <xf numFmtId="0" fontId="15" fillId="0" borderId="68" xfId="0" applyFont="1" applyFill="1" applyBorder="1" applyAlignment="1" applyProtection="1">
      <alignment horizontal="left" vertical="top" wrapText="1"/>
      <protection/>
    </xf>
    <xf numFmtId="0" fontId="15" fillId="0" borderId="48" xfId="0" applyFont="1" applyFill="1" applyBorder="1" applyAlignment="1" applyProtection="1">
      <alignment horizontal="left" vertical="top" wrapText="1"/>
      <protection/>
    </xf>
    <xf numFmtId="0" fontId="2" fillId="33" borderId="22"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63" fillId="33" borderId="45" xfId="53"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11" fillId="10" borderId="0" xfId="0" applyFont="1" applyFill="1" applyBorder="1" applyAlignment="1" applyProtection="1">
      <alignment horizontal="left" vertical="center" wrapText="1"/>
      <protection/>
    </xf>
    <xf numFmtId="0" fontId="23" fillId="0" borderId="22" xfId="0" applyFont="1" applyFill="1" applyBorder="1" applyAlignment="1" applyProtection="1">
      <alignment horizontal="left" vertical="top" wrapText="1"/>
      <protection/>
    </xf>
    <xf numFmtId="0" fontId="23" fillId="0" borderId="23" xfId="0" applyFont="1" applyFill="1" applyBorder="1" applyAlignment="1" applyProtection="1">
      <alignment horizontal="left" vertical="top" wrapText="1"/>
      <protection/>
    </xf>
    <xf numFmtId="0" fontId="23" fillId="0" borderId="20" xfId="0" applyFont="1" applyFill="1" applyBorder="1" applyAlignment="1" applyProtection="1">
      <alignment horizontal="left" vertical="top" wrapText="1"/>
      <protection/>
    </xf>
    <xf numFmtId="0" fontId="23" fillId="0" borderId="24"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top" wrapText="1"/>
      <protection/>
    </xf>
    <xf numFmtId="0" fontId="23" fillId="0" borderId="25" xfId="0" applyFont="1" applyFill="1" applyBorder="1" applyAlignment="1" applyProtection="1">
      <alignment horizontal="left" vertical="top" wrapText="1"/>
      <protection/>
    </xf>
    <xf numFmtId="0" fontId="23" fillId="0" borderId="26" xfId="0" applyFont="1" applyFill="1" applyBorder="1" applyAlignment="1" applyProtection="1">
      <alignment horizontal="left" vertical="top" wrapText="1"/>
      <protection/>
    </xf>
    <xf numFmtId="0" fontId="23" fillId="0" borderId="27" xfId="0" applyFont="1" applyFill="1" applyBorder="1" applyAlignment="1" applyProtection="1">
      <alignment horizontal="left" vertical="top" wrapText="1"/>
      <protection/>
    </xf>
    <xf numFmtId="0" fontId="23" fillId="0" borderId="28" xfId="0" applyFont="1" applyFill="1" applyBorder="1" applyAlignment="1" applyProtection="1">
      <alignment horizontal="left" vertical="top" wrapText="1"/>
      <protection/>
    </xf>
    <xf numFmtId="0" fontId="2" fillId="33" borderId="45" xfId="0" applyFont="1" applyFill="1" applyBorder="1" applyAlignment="1" applyProtection="1">
      <alignment horizontal="left" vertical="top" wrapText="1"/>
      <protection/>
    </xf>
    <xf numFmtId="0" fontId="2" fillId="33" borderId="19" xfId="0" applyFont="1" applyFill="1" applyBorder="1" applyAlignment="1" applyProtection="1">
      <alignment horizontal="left" vertical="top" wrapText="1"/>
      <protection/>
    </xf>
    <xf numFmtId="0" fontId="2" fillId="33" borderId="45" xfId="0" applyFont="1" applyFill="1" applyBorder="1" applyAlignment="1" applyProtection="1">
      <alignment horizontal="center"/>
      <protection locked="0"/>
    </xf>
    <xf numFmtId="0" fontId="15" fillId="33" borderId="45" xfId="0" applyFont="1" applyFill="1" applyBorder="1" applyAlignment="1" applyProtection="1">
      <alignment horizontal="center" wrapText="1"/>
      <protection locked="0"/>
    </xf>
    <xf numFmtId="0" fontId="15" fillId="33" borderId="21" xfId="0" applyFont="1" applyFill="1" applyBorder="1" applyAlignment="1" applyProtection="1">
      <alignment horizontal="center"/>
      <protection locked="0"/>
    </xf>
    <xf numFmtId="0" fontId="15" fillId="33" borderId="19" xfId="0" applyFont="1" applyFill="1" applyBorder="1" applyAlignment="1" applyProtection="1">
      <alignment horizontal="center"/>
      <protection locked="0"/>
    </xf>
    <xf numFmtId="0" fontId="2" fillId="33" borderId="45"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15" fillId="33" borderId="56" xfId="0" applyFont="1" applyFill="1" applyBorder="1" applyAlignment="1" applyProtection="1">
      <alignment horizontal="left" vertical="center" wrapText="1"/>
      <protection/>
    </xf>
    <xf numFmtId="0" fontId="15" fillId="33" borderId="37" xfId="0" applyFont="1" applyFill="1" applyBorder="1" applyAlignment="1" applyProtection="1">
      <alignment horizontal="left" vertical="center" wrapText="1"/>
      <protection/>
    </xf>
    <xf numFmtId="0" fontId="15" fillId="33" borderId="68" xfId="0" applyFont="1" applyFill="1" applyBorder="1" applyAlignment="1" applyProtection="1">
      <alignment horizontal="left" vertical="center" wrapText="1"/>
      <protection/>
    </xf>
    <xf numFmtId="0" fontId="15" fillId="33" borderId="48" xfId="0" applyFont="1" applyFill="1" applyBorder="1" applyAlignment="1" applyProtection="1">
      <alignment horizontal="left" vertical="center" wrapText="1"/>
      <protection/>
    </xf>
    <xf numFmtId="0" fontId="23" fillId="10" borderId="0" xfId="0" applyFont="1" applyFill="1" applyBorder="1" applyAlignment="1" applyProtection="1">
      <alignment horizontal="left" vertical="center" wrapText="1"/>
      <protection/>
    </xf>
    <xf numFmtId="0" fontId="23" fillId="0" borderId="45"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19" xfId="0" applyFont="1" applyFill="1" applyBorder="1" applyAlignment="1" applyProtection="1">
      <alignment horizontal="left" vertical="top" wrapText="1"/>
      <protection/>
    </xf>
    <xf numFmtId="0" fontId="15" fillId="33" borderId="63" xfId="0" applyFont="1" applyFill="1" applyBorder="1" applyAlignment="1" applyProtection="1">
      <alignment horizontal="left" vertical="center" wrapText="1"/>
      <protection/>
    </xf>
    <xf numFmtId="0" fontId="15" fillId="33" borderId="64" xfId="0" applyFont="1" applyFill="1" applyBorder="1" applyAlignment="1" applyProtection="1">
      <alignment horizontal="left" vertical="center" wrapText="1"/>
      <protection/>
    </xf>
    <xf numFmtId="0" fontId="0" fillId="0" borderId="24" xfId="0" applyBorder="1" applyAlignment="1">
      <alignment horizontal="left" vertical="top" wrapText="1"/>
    </xf>
    <xf numFmtId="0" fontId="0" fillId="0" borderId="0" xfId="0" applyAlignment="1">
      <alignment horizontal="left" vertical="top" wrapText="1"/>
    </xf>
    <xf numFmtId="0" fontId="2" fillId="33" borderId="63" xfId="0" applyFont="1" applyFill="1" applyBorder="1" applyAlignment="1" applyProtection="1">
      <alignment horizontal="left" vertical="center" wrapText="1"/>
      <protection/>
    </xf>
    <xf numFmtId="0" fontId="2" fillId="33" borderId="64" xfId="0" applyFont="1" applyFill="1" applyBorder="1" applyAlignment="1" applyProtection="1">
      <alignment horizontal="left" vertical="center" wrapText="1"/>
      <protection/>
    </xf>
    <xf numFmtId="0" fontId="2" fillId="0" borderId="63" xfId="0" applyFont="1" applyFill="1" applyBorder="1" applyAlignment="1" applyProtection="1">
      <alignment horizontal="left" vertical="center" wrapText="1"/>
      <protection/>
    </xf>
    <xf numFmtId="0" fontId="2" fillId="0" borderId="64" xfId="0" applyFont="1" applyFill="1" applyBorder="1" applyAlignment="1" applyProtection="1">
      <alignment horizontal="left" vertical="center" wrapText="1"/>
      <protection/>
    </xf>
    <xf numFmtId="0" fontId="3" fillId="33" borderId="65" xfId="0" applyFont="1" applyFill="1" applyBorder="1" applyAlignment="1" applyProtection="1">
      <alignment horizontal="center" vertical="center" wrapText="1"/>
      <protection/>
    </xf>
    <xf numFmtId="0" fontId="3" fillId="33" borderId="69"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2" fillId="33" borderId="63" xfId="0" applyFont="1" applyFill="1" applyBorder="1" applyAlignment="1" applyProtection="1">
      <alignment horizontal="left" vertical="top" wrapText="1"/>
      <protection/>
    </xf>
    <xf numFmtId="0" fontId="2" fillId="33" borderId="64" xfId="0" applyFont="1" applyFill="1" applyBorder="1" applyAlignment="1" applyProtection="1">
      <alignment horizontal="left" vertical="top" wrapText="1"/>
      <protection/>
    </xf>
    <xf numFmtId="0" fontId="0" fillId="0" borderId="21" xfId="0" applyBorder="1" applyAlignment="1">
      <alignment/>
    </xf>
    <xf numFmtId="0" fontId="0" fillId="0" borderId="19" xfId="0" applyBorder="1" applyAlignment="1">
      <alignment/>
    </xf>
    <xf numFmtId="0" fontId="85" fillId="10" borderId="23"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3" xfId="0" applyFont="1" applyFill="1" applyBorder="1" applyAlignment="1" applyProtection="1">
      <alignment horizontal="center" vertical="center" wrapText="1"/>
      <protection/>
    </xf>
    <xf numFmtId="0" fontId="3" fillId="33" borderId="70"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0" fillId="0" borderId="24" xfId="0" applyBorder="1" applyAlignment="1">
      <alignment horizontal="left" wrapText="1"/>
    </xf>
    <xf numFmtId="0" fontId="0" fillId="0" borderId="0" xfId="0" applyAlignment="1">
      <alignment horizontal="left"/>
    </xf>
    <xf numFmtId="0" fontId="15" fillId="0" borderId="63" xfId="0" applyFont="1" applyFill="1" applyBorder="1" applyAlignment="1" applyProtection="1">
      <alignment horizontal="left" vertical="center" wrapText="1"/>
      <protection/>
    </xf>
    <xf numFmtId="0" fontId="15" fillId="0" borderId="64" xfId="0" applyFont="1" applyFill="1" applyBorder="1" applyAlignment="1" applyProtection="1">
      <alignment horizontal="left" vertical="center" wrapText="1"/>
      <protection/>
    </xf>
    <xf numFmtId="0" fontId="86" fillId="34" borderId="14" xfId="0" applyFont="1" applyFill="1" applyBorder="1" applyAlignment="1">
      <alignment horizontal="center"/>
    </xf>
    <xf numFmtId="0" fontId="75" fillId="0" borderId="45" xfId="0" applyFont="1" applyFill="1" applyBorder="1" applyAlignment="1">
      <alignment horizontal="center"/>
    </xf>
    <xf numFmtId="0" fontId="75" fillId="0" borderId="71" xfId="0" applyFont="1" applyFill="1" applyBorder="1" applyAlignment="1">
      <alignment horizontal="center"/>
    </xf>
    <xf numFmtId="0" fontId="79" fillId="10" borderId="27" xfId="0" applyFont="1" applyFill="1" applyBorder="1" applyAlignment="1">
      <alignment/>
    </xf>
    <xf numFmtId="0" fontId="73" fillId="10" borderId="45" xfId="0" applyFont="1" applyFill="1" applyBorder="1" applyAlignment="1">
      <alignment horizontal="center" vertical="top" wrapText="1"/>
    </xf>
    <xf numFmtId="0" fontId="73" fillId="10" borderId="19" xfId="0" applyFont="1" applyFill="1" applyBorder="1" applyAlignment="1">
      <alignment horizontal="center" vertical="top" wrapText="1"/>
    </xf>
    <xf numFmtId="0" fontId="74" fillId="34" borderId="45" xfId="0" applyFont="1" applyFill="1" applyBorder="1" applyAlignment="1">
      <alignment horizontal="center" vertical="center" wrapText="1"/>
    </xf>
    <xf numFmtId="0" fontId="74" fillId="34" borderId="19" xfId="0" applyFont="1" applyFill="1" applyBorder="1" applyAlignment="1">
      <alignment horizontal="center" vertical="center" wrapText="1"/>
    </xf>
    <xf numFmtId="0" fontId="73" fillId="33" borderId="22" xfId="0" applyFont="1" applyFill="1" applyBorder="1" applyAlignment="1">
      <alignment horizontal="center" vertical="top" wrapText="1"/>
    </xf>
    <xf numFmtId="0" fontId="73" fillId="33" borderId="23" xfId="0" applyFont="1" applyFill="1" applyBorder="1" applyAlignment="1">
      <alignment horizontal="center" vertical="top" wrapText="1"/>
    </xf>
    <xf numFmtId="0" fontId="77" fillId="0" borderId="45" xfId="0" applyFont="1" applyBorder="1" applyAlignment="1">
      <alignment horizontal="left" vertical="center"/>
    </xf>
    <xf numFmtId="0" fontId="77" fillId="0" borderId="21" xfId="0" applyFont="1" applyBorder="1" applyAlignment="1">
      <alignment horizontal="left" vertical="center"/>
    </xf>
    <xf numFmtId="0" fontId="77" fillId="0" borderId="19" xfId="0" applyFont="1" applyBorder="1" applyAlignment="1">
      <alignment horizontal="left" vertical="center"/>
    </xf>
    <xf numFmtId="0" fontId="76" fillId="10" borderId="23" xfId="0" applyFont="1" applyFill="1" applyBorder="1" applyAlignment="1">
      <alignment horizontal="center" vertical="center"/>
    </xf>
    <xf numFmtId="0" fontId="73" fillId="10" borderId="22" xfId="0" applyFont="1" applyFill="1" applyBorder="1" applyAlignment="1">
      <alignment horizontal="center" vertical="top" wrapText="1"/>
    </xf>
    <xf numFmtId="0" fontId="73" fillId="10" borderId="23" xfId="0" applyFont="1" applyFill="1" applyBorder="1" applyAlignment="1">
      <alignment horizontal="center" vertical="top" wrapText="1"/>
    </xf>
    <xf numFmtId="0" fontId="73" fillId="10" borderId="20" xfId="0" applyFont="1" applyFill="1" applyBorder="1" applyAlignment="1">
      <alignment horizontal="center" vertical="top" wrapText="1"/>
    </xf>
    <xf numFmtId="0" fontId="73" fillId="10" borderId="26" xfId="0" applyFont="1" applyFill="1" applyBorder="1" applyAlignment="1">
      <alignment horizontal="center" vertical="top" wrapText="1"/>
    </xf>
    <xf numFmtId="0" fontId="73" fillId="10" borderId="27" xfId="0" applyFont="1" applyFill="1" applyBorder="1" applyAlignment="1">
      <alignment horizontal="center" vertical="top" wrapText="1"/>
    </xf>
    <xf numFmtId="0" fontId="73" fillId="10" borderId="28" xfId="0" applyFont="1" applyFill="1" applyBorder="1" applyAlignment="1">
      <alignment horizontal="center" vertical="top" wrapText="1"/>
    </xf>
    <xf numFmtId="0" fontId="63" fillId="10" borderId="26" xfId="53" applyFill="1" applyBorder="1" applyAlignment="1" applyProtection="1">
      <alignment horizontal="center" vertical="top" wrapText="1"/>
      <protection/>
    </xf>
    <xf numFmtId="0" fontId="63" fillId="10" borderId="27" xfId="53" applyFill="1" applyBorder="1" applyAlignment="1" applyProtection="1">
      <alignment horizontal="center" vertical="top" wrapText="1"/>
      <protection/>
    </xf>
    <xf numFmtId="0" fontId="63" fillId="10" borderId="28" xfId="53" applyFill="1" applyBorder="1" applyAlignment="1" applyProtection="1">
      <alignment horizontal="center" vertical="top" wrapText="1"/>
      <protection/>
    </xf>
    <xf numFmtId="0" fontId="76" fillId="33" borderId="45" xfId="0" applyFont="1" applyFill="1" applyBorder="1" applyAlignment="1">
      <alignment horizontal="center" vertical="center"/>
    </xf>
    <xf numFmtId="0" fontId="76" fillId="33" borderId="21" xfId="0" applyFont="1" applyFill="1" applyBorder="1" applyAlignment="1">
      <alignment horizontal="center" vertical="center"/>
    </xf>
    <xf numFmtId="0" fontId="76" fillId="33" borderId="19" xfId="0" applyFont="1" applyFill="1" applyBorder="1" applyAlignment="1">
      <alignment horizontal="center" vertical="center"/>
    </xf>
    <xf numFmtId="0" fontId="87" fillId="34" borderId="45" xfId="0" applyFont="1" applyFill="1" applyBorder="1" applyAlignment="1">
      <alignment horizontal="center"/>
    </xf>
    <xf numFmtId="0" fontId="87" fillId="34" borderId="21" xfId="0" applyFont="1" applyFill="1" applyBorder="1" applyAlignment="1">
      <alignment horizontal="center"/>
    </xf>
    <xf numFmtId="0" fontId="87" fillId="34" borderId="19" xfId="0" applyFont="1" applyFill="1" applyBorder="1" applyAlignment="1">
      <alignment horizontal="center"/>
    </xf>
    <xf numFmtId="0" fontId="74" fillId="34" borderId="21" xfId="0" applyFont="1" applyFill="1" applyBorder="1" applyAlignment="1">
      <alignment horizontal="center" vertical="center" wrapText="1"/>
    </xf>
    <xf numFmtId="0" fontId="73" fillId="33" borderId="20" xfId="0"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12</xdr:col>
      <xdr:colOff>581025</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3887450" y="2190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lavanessa2005@gmail.com" TargetMode="External" /><Relationship Id="rId2" Type="http://schemas.openxmlformats.org/officeDocument/2006/relationships/hyperlink" Target="mailto:dfuentes@marena.gob.ni" TargetMode="External" /><Relationship Id="rId3" Type="http://schemas.openxmlformats.org/officeDocument/2006/relationships/hyperlink" Target="mailto:mzeledon@marena.gob.ni" TargetMode="External" /><Relationship Id="rId4" Type="http://schemas.openxmlformats.org/officeDocument/2006/relationships/hyperlink" Target="mailto:fernanda.sanchez@undp.org" TargetMode="External" /><Relationship Id="rId5" Type="http://schemas.openxmlformats.org/officeDocument/2006/relationships/hyperlink" Target="http://www.adaptation-fund.org/project/1331-reduction-risks-and-vulnerability-based-flooding-and-droughts-estero-real-river-watersh"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arlavanessa2005@gmail.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R177"/>
  <sheetViews>
    <sheetView zoomScale="90" zoomScaleNormal="90" zoomScalePageLayoutView="0" workbookViewId="0" topLeftCell="A1">
      <selection activeCell="D7" sqref="D7"/>
    </sheetView>
  </sheetViews>
  <sheetFormatPr defaultColWidth="9.140625" defaultRowHeight="15"/>
  <cols>
    <col min="1" max="1" width="2.57421875" style="1" customWidth="1"/>
    <col min="2" max="2" width="10.8515625" style="175" customWidth="1"/>
    <col min="3" max="3" width="14.8515625" style="175"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9.140625" style="1" customWidth="1"/>
    <col min="254" max="254" width="2.7109375" style="1" customWidth="1"/>
    <col min="255" max="16384" width="9.140625" style="1" customWidth="1"/>
  </cols>
  <sheetData>
    <row r="1" ht="15.75" thickBot="1"/>
    <row r="2" spans="2:7" ht="15.75" thickBot="1">
      <c r="B2" s="176"/>
      <c r="C2" s="177"/>
      <c r="D2" s="97"/>
      <c r="E2" s="97"/>
      <c r="F2" s="97"/>
      <c r="G2" s="98"/>
    </row>
    <row r="3" spans="2:7" ht="19.5" thickBot="1">
      <c r="B3" s="178"/>
      <c r="C3" s="179"/>
      <c r="D3" s="110" t="s">
        <v>271</v>
      </c>
      <c r="E3" s="99"/>
      <c r="F3" s="99"/>
      <c r="G3" s="100"/>
    </row>
    <row r="4" spans="2:7" ht="15.75" thickBot="1">
      <c r="B4" s="178"/>
      <c r="C4" s="179"/>
      <c r="D4" s="99"/>
      <c r="E4" s="99"/>
      <c r="F4" s="99"/>
      <c r="G4" s="100"/>
    </row>
    <row r="5" spans="2:7" ht="15.75" thickBot="1">
      <c r="B5" s="178"/>
      <c r="C5" s="182" t="s">
        <v>328</v>
      </c>
      <c r="D5" s="256" t="s">
        <v>364</v>
      </c>
      <c r="E5" s="99"/>
      <c r="F5" s="99"/>
      <c r="G5" s="100"/>
    </row>
    <row r="6" spans="2:18" s="3" customFormat="1" ht="15.75" thickBot="1">
      <c r="B6" s="180"/>
      <c r="C6" s="108"/>
      <c r="D6" s="65"/>
      <c r="E6" s="65"/>
      <c r="F6" s="65"/>
      <c r="G6" s="63"/>
      <c r="I6" s="2"/>
      <c r="J6" s="2"/>
      <c r="K6" s="2"/>
      <c r="L6" s="2"/>
      <c r="M6" s="2"/>
      <c r="N6" s="2"/>
      <c r="O6" s="2"/>
      <c r="P6" s="2"/>
      <c r="Q6" s="2"/>
      <c r="R6" s="2"/>
    </row>
    <row r="7" spans="2:18" s="3" customFormat="1" ht="30.75" customHeight="1" thickBot="1">
      <c r="B7" s="180"/>
      <c r="C7" s="101" t="s">
        <v>213</v>
      </c>
      <c r="D7" s="251" t="s">
        <v>330</v>
      </c>
      <c r="E7" s="65"/>
      <c r="F7" s="65"/>
      <c r="G7" s="63"/>
      <c r="I7" s="2"/>
      <c r="J7" s="2"/>
      <c r="K7" s="2"/>
      <c r="L7" s="2"/>
      <c r="M7" s="2"/>
      <c r="N7" s="2"/>
      <c r="O7" s="2"/>
      <c r="P7" s="2"/>
      <c r="Q7" s="2"/>
      <c r="R7" s="2"/>
    </row>
    <row r="8" spans="2:18" s="3" customFormat="1" ht="15" hidden="1">
      <c r="B8" s="178"/>
      <c r="C8" s="179"/>
      <c r="D8" s="99"/>
      <c r="E8" s="99"/>
      <c r="F8" s="99"/>
      <c r="G8" s="63"/>
      <c r="I8" s="2"/>
      <c r="J8" s="2"/>
      <c r="K8" s="2"/>
      <c r="L8" s="2"/>
      <c r="M8" s="2"/>
      <c r="N8" s="2"/>
      <c r="O8" s="2"/>
      <c r="P8" s="2"/>
      <c r="Q8" s="2"/>
      <c r="R8" s="2"/>
    </row>
    <row r="9" spans="2:18" s="3" customFormat="1" ht="15" hidden="1">
      <c r="B9" s="178"/>
      <c r="C9" s="179"/>
      <c r="D9" s="99"/>
      <c r="E9" s="99"/>
      <c r="F9" s="99"/>
      <c r="G9" s="63"/>
      <c r="I9" s="2"/>
      <c r="J9" s="2"/>
      <c r="K9" s="2"/>
      <c r="L9" s="2"/>
      <c r="M9" s="2"/>
      <c r="N9" s="2"/>
      <c r="O9" s="2"/>
      <c r="P9" s="2"/>
      <c r="Q9" s="2"/>
      <c r="R9" s="2"/>
    </row>
    <row r="10" spans="2:18" s="3" customFormat="1" ht="15" hidden="1">
      <c r="B10" s="178"/>
      <c r="C10" s="179"/>
      <c r="D10" s="99"/>
      <c r="E10" s="99"/>
      <c r="F10" s="99"/>
      <c r="G10" s="63"/>
      <c r="I10" s="2"/>
      <c r="J10" s="2"/>
      <c r="K10" s="2"/>
      <c r="L10" s="2"/>
      <c r="M10" s="2"/>
      <c r="N10" s="2"/>
      <c r="O10" s="2"/>
      <c r="P10" s="2"/>
      <c r="Q10" s="2"/>
      <c r="R10" s="2"/>
    </row>
    <row r="11" spans="2:18" s="3" customFormat="1" ht="15" hidden="1">
      <c r="B11" s="178"/>
      <c r="C11" s="179"/>
      <c r="D11" s="99"/>
      <c r="E11" s="99"/>
      <c r="F11" s="99"/>
      <c r="G11" s="63"/>
      <c r="I11" s="2"/>
      <c r="J11" s="2"/>
      <c r="K11" s="2"/>
      <c r="L11" s="2"/>
      <c r="M11" s="2"/>
      <c r="N11" s="2"/>
      <c r="O11" s="2"/>
      <c r="P11" s="2"/>
      <c r="Q11" s="2"/>
      <c r="R11" s="2"/>
    </row>
    <row r="12" spans="2:18" s="3" customFormat="1" ht="15.75" thickBot="1">
      <c r="B12" s="180"/>
      <c r="C12" s="108"/>
      <c r="D12" s="65"/>
      <c r="E12" s="65"/>
      <c r="F12" s="65"/>
      <c r="G12" s="63"/>
      <c r="I12" s="2"/>
      <c r="J12" s="2"/>
      <c r="K12" s="2"/>
      <c r="L12" s="2"/>
      <c r="M12" s="2"/>
      <c r="N12" s="2"/>
      <c r="O12" s="2"/>
      <c r="P12" s="2"/>
      <c r="Q12" s="2"/>
      <c r="R12" s="2"/>
    </row>
    <row r="13" spans="2:18" s="3" customFormat="1" ht="176.25" customHeight="1" thickBot="1">
      <c r="B13" s="180"/>
      <c r="C13" s="102" t="s">
        <v>0</v>
      </c>
      <c r="D13" s="251" t="s">
        <v>363</v>
      </c>
      <c r="E13" s="65"/>
      <c r="F13" s="65"/>
      <c r="G13" s="63"/>
      <c r="I13" s="2"/>
      <c r="J13" s="2"/>
      <c r="K13" s="2"/>
      <c r="L13" s="2"/>
      <c r="M13" s="2"/>
      <c r="N13" s="2"/>
      <c r="O13" s="2"/>
      <c r="P13" s="2"/>
      <c r="Q13" s="2"/>
      <c r="R13" s="2"/>
    </row>
    <row r="14" spans="2:18" s="3" customFormat="1" ht="15.75" thickBot="1">
      <c r="B14" s="180"/>
      <c r="C14" s="108"/>
      <c r="D14" s="65"/>
      <c r="E14" s="65"/>
      <c r="F14" s="65"/>
      <c r="G14" s="63"/>
      <c r="I14" s="2"/>
      <c r="J14" s="2" t="s">
        <v>1</v>
      </c>
      <c r="K14" s="2" t="s">
        <v>2</v>
      </c>
      <c r="L14" s="2"/>
      <c r="M14" s="2" t="s">
        <v>3</v>
      </c>
      <c r="N14" s="2" t="s">
        <v>4</v>
      </c>
      <c r="O14" s="2" t="s">
        <v>5</v>
      </c>
      <c r="P14" s="2" t="s">
        <v>6</v>
      </c>
      <c r="Q14" s="2" t="s">
        <v>7</v>
      </c>
      <c r="R14" s="2" t="s">
        <v>8</v>
      </c>
    </row>
    <row r="15" spans="2:18" s="3" customFormat="1" ht="15">
      <c r="B15" s="180"/>
      <c r="C15" s="103" t="s">
        <v>203</v>
      </c>
      <c r="D15" s="16" t="s">
        <v>356</v>
      </c>
      <c r="E15" s="65"/>
      <c r="F15" s="65"/>
      <c r="G15" s="63"/>
      <c r="I15" s="2"/>
      <c r="J15" s="4" t="s">
        <v>9</v>
      </c>
      <c r="K15" s="2" t="s">
        <v>10</v>
      </c>
      <c r="L15" s="2" t="s">
        <v>11</v>
      </c>
      <c r="M15" s="2" t="s">
        <v>12</v>
      </c>
      <c r="N15" s="2">
        <v>1</v>
      </c>
      <c r="O15" s="2">
        <v>1</v>
      </c>
      <c r="P15" s="2" t="s">
        <v>13</v>
      </c>
      <c r="Q15" s="2" t="s">
        <v>14</v>
      </c>
      <c r="R15" s="2" t="s">
        <v>15</v>
      </c>
    </row>
    <row r="16" spans="2:18" s="3" customFormat="1" ht="29.25" customHeight="1">
      <c r="B16" s="363" t="s">
        <v>312</v>
      </c>
      <c r="C16" s="364"/>
      <c r="D16" s="17" t="s">
        <v>331</v>
      </c>
      <c r="E16" s="65"/>
      <c r="F16" s="65"/>
      <c r="G16" s="63"/>
      <c r="I16" s="2"/>
      <c r="J16" s="4" t="s">
        <v>16</v>
      </c>
      <c r="K16" s="2" t="s">
        <v>17</v>
      </c>
      <c r="L16" s="2" t="s">
        <v>18</v>
      </c>
      <c r="M16" s="2" t="s">
        <v>19</v>
      </c>
      <c r="N16" s="2">
        <v>2</v>
      </c>
      <c r="O16" s="2">
        <v>2</v>
      </c>
      <c r="P16" s="2" t="s">
        <v>20</v>
      </c>
      <c r="Q16" s="2" t="s">
        <v>21</v>
      </c>
      <c r="R16" s="2" t="s">
        <v>22</v>
      </c>
    </row>
    <row r="17" spans="2:18" s="3" customFormat="1" ht="15">
      <c r="B17" s="180"/>
      <c r="C17" s="103" t="s">
        <v>209</v>
      </c>
      <c r="D17" s="17" t="s">
        <v>332</v>
      </c>
      <c r="E17" s="65"/>
      <c r="F17" s="65"/>
      <c r="G17" s="63"/>
      <c r="I17" s="2"/>
      <c r="J17" s="4" t="s">
        <v>23</v>
      </c>
      <c r="K17" s="2" t="s">
        <v>24</v>
      </c>
      <c r="L17" s="2"/>
      <c r="M17" s="2" t="s">
        <v>25</v>
      </c>
      <c r="N17" s="2">
        <v>3</v>
      </c>
      <c r="O17" s="2">
        <v>3</v>
      </c>
      <c r="P17" s="2" t="s">
        <v>26</v>
      </c>
      <c r="Q17" s="2" t="s">
        <v>27</v>
      </c>
      <c r="R17" s="2" t="s">
        <v>28</v>
      </c>
    </row>
    <row r="18" spans="2:18" s="3" customFormat="1" ht="15.75" thickBot="1">
      <c r="B18" s="181"/>
      <c r="C18" s="102" t="s">
        <v>204</v>
      </c>
      <c r="D18" s="173" t="s">
        <v>133</v>
      </c>
      <c r="E18" s="65"/>
      <c r="F18" s="65"/>
      <c r="G18" s="63"/>
      <c r="I18" s="2"/>
      <c r="J18" s="4" t="s">
        <v>29</v>
      </c>
      <c r="K18" s="2"/>
      <c r="L18" s="2"/>
      <c r="M18" s="2" t="s">
        <v>30</v>
      </c>
      <c r="N18" s="2">
        <v>5</v>
      </c>
      <c r="O18" s="2">
        <v>5</v>
      </c>
      <c r="P18" s="2" t="s">
        <v>31</v>
      </c>
      <c r="Q18" s="2" t="s">
        <v>32</v>
      </c>
      <c r="R18" s="2" t="s">
        <v>33</v>
      </c>
    </row>
    <row r="19" spans="2:18" s="3" customFormat="1" ht="44.25" customHeight="1" thickBot="1">
      <c r="B19" s="366" t="s">
        <v>205</v>
      </c>
      <c r="C19" s="367"/>
      <c r="D19" s="203" t="s">
        <v>340</v>
      </c>
      <c r="E19" s="65"/>
      <c r="F19" s="65"/>
      <c r="G19" s="63"/>
      <c r="I19" s="2"/>
      <c r="J19" s="4" t="s">
        <v>34</v>
      </c>
      <c r="K19" s="2"/>
      <c r="L19" s="2"/>
      <c r="M19" s="2" t="s">
        <v>35</v>
      </c>
      <c r="N19" s="2"/>
      <c r="O19" s="2"/>
      <c r="P19" s="2"/>
      <c r="Q19" s="2" t="s">
        <v>36</v>
      </c>
      <c r="R19" s="2" t="s">
        <v>37</v>
      </c>
    </row>
    <row r="20" spans="2:16" s="3" customFormat="1" ht="15">
      <c r="B20" s="180"/>
      <c r="C20" s="102"/>
      <c r="D20" s="65"/>
      <c r="E20" s="65"/>
      <c r="F20" s="65"/>
      <c r="G20" s="100"/>
      <c r="H20" s="4"/>
      <c r="I20" s="2"/>
      <c r="J20" s="2"/>
      <c r="L20" s="2"/>
      <c r="M20" s="2"/>
      <c r="N20" s="2"/>
      <c r="O20" s="2" t="s">
        <v>38</v>
      </c>
      <c r="P20" s="2" t="s">
        <v>470</v>
      </c>
    </row>
    <row r="21" spans="2:16" s="3" customFormat="1" ht="15">
      <c r="B21" s="180"/>
      <c r="C21" s="182" t="s">
        <v>208</v>
      </c>
      <c r="D21" s="65"/>
      <c r="E21" s="65"/>
      <c r="F21" s="65"/>
      <c r="G21" s="100"/>
      <c r="H21" s="4"/>
      <c r="I21" s="2"/>
      <c r="J21" s="2"/>
      <c r="L21" s="2"/>
      <c r="M21" s="2"/>
      <c r="N21" s="2"/>
      <c r="O21" s="2" t="s">
        <v>39</v>
      </c>
      <c r="P21" s="2" t="s">
        <v>40</v>
      </c>
    </row>
    <row r="22" spans="2:18" s="3" customFormat="1" ht="15.75" thickBot="1">
      <c r="B22" s="180"/>
      <c r="C22" s="183" t="s">
        <v>211</v>
      </c>
      <c r="D22" s="65"/>
      <c r="E22" s="104"/>
      <c r="F22" s="65"/>
      <c r="G22" s="63"/>
      <c r="I22" s="2"/>
      <c r="J22" s="4" t="s">
        <v>41</v>
      </c>
      <c r="K22" s="2"/>
      <c r="L22" s="2"/>
      <c r="N22" s="2"/>
      <c r="O22" s="2"/>
      <c r="P22" s="2"/>
      <c r="Q22" s="2" t="s">
        <v>42</v>
      </c>
      <c r="R22" s="2" t="s">
        <v>43</v>
      </c>
    </row>
    <row r="23" spans="2:18" s="3" customFormat="1" ht="15">
      <c r="B23" s="363" t="s">
        <v>210</v>
      </c>
      <c r="C23" s="364"/>
      <c r="D23" s="361" t="s">
        <v>334</v>
      </c>
      <c r="E23" s="104"/>
      <c r="F23" s="65"/>
      <c r="G23" s="63"/>
      <c r="I23" s="2"/>
      <c r="J23" s="4"/>
      <c r="K23" s="2"/>
      <c r="L23" s="2"/>
      <c r="N23" s="2"/>
      <c r="O23" s="2"/>
      <c r="P23" s="2"/>
      <c r="Q23" s="2"/>
      <c r="R23" s="2"/>
    </row>
    <row r="24" spans="2:18" s="3" customFormat="1" ht="4.5" customHeight="1">
      <c r="B24" s="363"/>
      <c r="C24" s="364"/>
      <c r="D24" s="362"/>
      <c r="E24" s="104"/>
      <c r="F24" s="65"/>
      <c r="G24" s="63"/>
      <c r="I24" s="2"/>
      <c r="J24" s="4"/>
      <c r="K24" s="2"/>
      <c r="L24" s="2"/>
      <c r="N24" s="2"/>
      <c r="O24" s="2"/>
      <c r="P24" s="2"/>
      <c r="Q24" s="2"/>
      <c r="R24" s="2"/>
    </row>
    <row r="25" spans="2:17" s="3" customFormat="1" ht="27.75" customHeight="1">
      <c r="B25" s="363" t="s">
        <v>320</v>
      </c>
      <c r="C25" s="364"/>
      <c r="D25" s="194" t="s">
        <v>333</v>
      </c>
      <c r="E25" s="65"/>
      <c r="F25" s="65"/>
      <c r="G25" s="63"/>
      <c r="H25" s="2"/>
      <c r="I25" s="4"/>
      <c r="J25" s="2"/>
      <c r="K25" s="2"/>
      <c r="M25" s="2"/>
      <c r="N25" s="2"/>
      <c r="O25" s="2"/>
      <c r="P25" s="2" t="s">
        <v>44</v>
      </c>
      <c r="Q25" s="2" t="s">
        <v>45</v>
      </c>
    </row>
    <row r="26" spans="2:17" s="3" customFormat="1" ht="32.25" customHeight="1">
      <c r="B26" s="363" t="s">
        <v>212</v>
      </c>
      <c r="C26" s="364"/>
      <c r="D26" s="195" t="s">
        <v>333</v>
      </c>
      <c r="E26" s="65"/>
      <c r="F26" s="65"/>
      <c r="G26" s="63"/>
      <c r="H26" s="2"/>
      <c r="I26" s="4"/>
      <c r="J26" s="2"/>
      <c r="K26" s="2"/>
      <c r="M26" s="2"/>
      <c r="N26" s="2"/>
      <c r="O26" s="2"/>
      <c r="P26" s="2" t="s">
        <v>46</v>
      </c>
      <c r="Q26" s="2" t="s">
        <v>47</v>
      </c>
    </row>
    <row r="27" spans="2:17" s="3" customFormat="1" ht="28.5" customHeight="1">
      <c r="B27" s="363" t="s">
        <v>319</v>
      </c>
      <c r="C27" s="364"/>
      <c r="D27" s="194" t="s">
        <v>499</v>
      </c>
      <c r="E27" s="65"/>
      <c r="F27" s="65"/>
      <c r="G27" s="105"/>
      <c r="H27" s="2"/>
      <c r="I27" s="4"/>
      <c r="J27" s="2"/>
      <c r="K27" s="2"/>
      <c r="L27" s="2"/>
      <c r="M27" s="2"/>
      <c r="N27" s="2"/>
      <c r="O27" s="2"/>
      <c r="P27" s="2"/>
      <c r="Q27" s="2"/>
    </row>
    <row r="28" spans="2:17" s="3" customFormat="1" ht="15.75" thickBot="1">
      <c r="B28" s="180"/>
      <c r="C28" s="103" t="s">
        <v>323</v>
      </c>
      <c r="D28" s="197" t="s">
        <v>339</v>
      </c>
      <c r="E28" s="65"/>
      <c r="F28" s="65"/>
      <c r="G28" s="63"/>
      <c r="H28" s="2"/>
      <c r="I28" s="4"/>
      <c r="J28" s="2"/>
      <c r="K28" s="2"/>
      <c r="L28" s="2"/>
      <c r="M28" s="2"/>
      <c r="N28" s="2"/>
      <c r="O28" s="2"/>
      <c r="P28" s="2"/>
      <c r="Q28" s="2"/>
    </row>
    <row r="29" spans="2:17" s="3" customFormat="1" ht="15">
      <c r="B29" s="180"/>
      <c r="C29" s="108"/>
      <c r="D29" s="106"/>
      <c r="E29" s="65"/>
      <c r="F29" s="65"/>
      <c r="G29" s="63"/>
      <c r="H29" s="2"/>
      <c r="I29" s="4"/>
      <c r="J29" s="2"/>
      <c r="K29" s="2"/>
      <c r="L29" s="2"/>
      <c r="M29" s="2"/>
      <c r="N29" s="2"/>
      <c r="O29" s="2"/>
      <c r="P29" s="2"/>
      <c r="Q29" s="2"/>
    </row>
    <row r="30" spans="2:18" s="3" customFormat="1" ht="15.75" thickBot="1">
      <c r="B30" s="180"/>
      <c r="C30" s="108"/>
      <c r="D30" s="107" t="s">
        <v>48</v>
      </c>
      <c r="E30" s="65"/>
      <c r="F30" s="65"/>
      <c r="G30" s="63"/>
      <c r="I30" s="2"/>
      <c r="J30" s="4" t="s">
        <v>49</v>
      </c>
      <c r="K30" s="2"/>
      <c r="L30" s="2"/>
      <c r="M30" s="2"/>
      <c r="N30" s="2"/>
      <c r="O30" s="2"/>
      <c r="P30" s="2"/>
      <c r="Q30" s="2"/>
      <c r="R30" s="2"/>
    </row>
    <row r="31" spans="2:18" s="3" customFormat="1" ht="197.25" customHeight="1" thickBot="1">
      <c r="B31" s="180"/>
      <c r="C31" s="108"/>
      <c r="D31" s="279" t="s">
        <v>500</v>
      </c>
      <c r="E31" s="65"/>
      <c r="F31" s="65"/>
      <c r="G31" s="63"/>
      <c r="H31" s="5"/>
      <c r="I31" s="2"/>
      <c r="J31" s="4" t="s">
        <v>50</v>
      </c>
      <c r="K31" s="2"/>
      <c r="L31" s="2"/>
      <c r="M31" s="2"/>
      <c r="N31" s="2"/>
      <c r="O31" s="2"/>
      <c r="P31" s="2"/>
      <c r="Q31" s="2"/>
      <c r="R31" s="2"/>
    </row>
    <row r="32" spans="2:18" s="3" customFormat="1" ht="72.75" thickBot="1">
      <c r="B32" s="187"/>
      <c r="C32" s="174" t="s">
        <v>51</v>
      </c>
      <c r="D32" s="65"/>
      <c r="E32" s="65"/>
      <c r="F32" s="65"/>
      <c r="G32" s="63"/>
      <c r="I32" s="2"/>
      <c r="J32" s="4" t="s">
        <v>52</v>
      </c>
      <c r="K32" s="2"/>
      <c r="L32" s="2"/>
      <c r="M32" s="2"/>
      <c r="N32" s="2"/>
      <c r="O32" s="2"/>
      <c r="P32" s="2"/>
      <c r="Q32" s="2"/>
      <c r="R32" s="2"/>
    </row>
    <row r="33" spans="2:18" s="3" customFormat="1" ht="17.25" customHeight="1" thickBot="1">
      <c r="B33" s="180"/>
      <c r="C33" s="108"/>
      <c r="D33" s="202" t="s">
        <v>347</v>
      </c>
      <c r="E33" s="65"/>
      <c r="F33" s="65"/>
      <c r="G33" s="63"/>
      <c r="I33" s="2"/>
      <c r="J33" s="4" t="s">
        <v>53</v>
      </c>
      <c r="K33" s="2"/>
      <c r="L33" s="2"/>
      <c r="M33" s="2"/>
      <c r="N33" s="2"/>
      <c r="O33" s="2"/>
      <c r="P33" s="2"/>
      <c r="Q33" s="2"/>
      <c r="R33" s="2"/>
    </row>
    <row r="34" spans="2:18" s="3" customFormat="1" ht="15">
      <c r="B34" s="180"/>
      <c r="C34" s="108"/>
      <c r="D34" s="65"/>
      <c r="E34" s="65"/>
      <c r="F34" s="65"/>
      <c r="G34" s="63"/>
      <c r="H34" s="5"/>
      <c r="I34" s="2"/>
      <c r="J34" s="4" t="s">
        <v>54</v>
      </c>
      <c r="K34" s="2"/>
      <c r="L34" s="2"/>
      <c r="M34" s="2"/>
      <c r="N34" s="2"/>
      <c r="O34" s="2"/>
      <c r="P34" s="2"/>
      <c r="Q34" s="2"/>
      <c r="R34" s="2"/>
    </row>
    <row r="35" spans="2:18" s="3" customFormat="1" ht="15">
      <c r="B35" s="180"/>
      <c r="C35" s="184" t="s">
        <v>55</v>
      </c>
      <c r="D35" s="65"/>
      <c r="E35" s="65"/>
      <c r="F35" s="65"/>
      <c r="G35" s="63"/>
      <c r="I35" s="2"/>
      <c r="J35" s="4" t="s">
        <v>56</v>
      </c>
      <c r="K35" s="2"/>
      <c r="L35" s="2"/>
      <c r="M35" s="2"/>
      <c r="N35" s="2"/>
      <c r="O35" s="2"/>
      <c r="P35" s="2"/>
      <c r="Q35" s="2"/>
      <c r="R35" s="2"/>
    </row>
    <row r="36" spans="2:18" s="3" customFormat="1" ht="31.5" customHeight="1" thickBot="1">
      <c r="B36" s="363" t="s">
        <v>57</v>
      </c>
      <c r="C36" s="365"/>
      <c r="D36" s="65"/>
      <c r="E36" s="65"/>
      <c r="F36" s="65"/>
      <c r="G36" s="63"/>
      <c r="I36" s="2"/>
      <c r="J36" s="4" t="s">
        <v>58</v>
      </c>
      <c r="K36" s="2"/>
      <c r="L36" s="2"/>
      <c r="M36" s="2"/>
      <c r="N36" s="2"/>
      <c r="O36" s="2"/>
      <c r="P36" s="2"/>
      <c r="Q36" s="2"/>
      <c r="R36" s="2"/>
    </row>
    <row r="37" spans="2:18" s="3" customFormat="1" ht="15">
      <c r="B37" s="180"/>
      <c r="C37" s="108" t="s">
        <v>59</v>
      </c>
      <c r="D37" s="19" t="s">
        <v>359</v>
      </c>
      <c r="E37" s="65"/>
      <c r="F37" s="65"/>
      <c r="G37" s="63"/>
      <c r="I37" s="2"/>
      <c r="J37" s="4" t="s">
        <v>60</v>
      </c>
      <c r="K37" s="2"/>
      <c r="L37" s="2"/>
      <c r="M37" s="2"/>
      <c r="N37" s="2"/>
      <c r="O37" s="2"/>
      <c r="P37" s="2"/>
      <c r="Q37" s="2"/>
      <c r="R37" s="2"/>
    </row>
    <row r="38" spans="2:18" s="3" customFormat="1" ht="15">
      <c r="B38" s="180"/>
      <c r="C38" s="108" t="s">
        <v>61</v>
      </c>
      <c r="D38" s="196" t="s">
        <v>350</v>
      </c>
      <c r="E38" s="65"/>
      <c r="F38" s="65"/>
      <c r="G38" s="63"/>
      <c r="I38" s="2"/>
      <c r="J38" s="4" t="s">
        <v>62</v>
      </c>
      <c r="K38" s="2"/>
      <c r="L38" s="2"/>
      <c r="M38" s="2"/>
      <c r="N38" s="2"/>
      <c r="O38" s="2"/>
      <c r="P38" s="2"/>
      <c r="Q38" s="2"/>
      <c r="R38" s="2"/>
    </row>
    <row r="39" spans="2:18" s="3" customFormat="1" ht="15.75" thickBot="1">
      <c r="B39" s="180"/>
      <c r="C39" s="108" t="s">
        <v>63</v>
      </c>
      <c r="D39" s="20">
        <v>41466</v>
      </c>
      <c r="E39" s="65"/>
      <c r="F39" s="65"/>
      <c r="G39" s="63"/>
      <c r="I39" s="2"/>
      <c r="J39" s="4" t="s">
        <v>64</v>
      </c>
      <c r="K39" s="2"/>
      <c r="L39" s="2"/>
      <c r="M39" s="2"/>
      <c r="N39" s="2"/>
      <c r="O39" s="2"/>
      <c r="P39" s="2"/>
      <c r="Q39" s="2"/>
      <c r="R39" s="2"/>
    </row>
    <row r="40" spans="2:18" s="3" customFormat="1" ht="15" customHeight="1" thickBot="1">
      <c r="B40" s="180"/>
      <c r="C40" s="103" t="s">
        <v>207</v>
      </c>
      <c r="D40" s="65"/>
      <c r="E40" s="65"/>
      <c r="F40" s="65"/>
      <c r="G40" s="63"/>
      <c r="I40" s="2"/>
      <c r="J40" s="4" t="s">
        <v>65</v>
      </c>
      <c r="K40" s="2"/>
      <c r="L40" s="2"/>
      <c r="M40" s="2"/>
      <c r="N40" s="2"/>
      <c r="O40" s="2"/>
      <c r="P40" s="2"/>
      <c r="Q40" s="2"/>
      <c r="R40" s="2"/>
    </row>
    <row r="41" spans="2:18" s="3" customFormat="1" ht="15">
      <c r="B41" s="180"/>
      <c r="C41" s="108" t="s">
        <v>59</v>
      </c>
      <c r="D41" s="19" t="s">
        <v>335</v>
      </c>
      <c r="E41" s="65"/>
      <c r="F41" s="65"/>
      <c r="G41" s="63"/>
      <c r="I41" s="2"/>
      <c r="J41" s="4" t="s">
        <v>66</v>
      </c>
      <c r="K41" s="2"/>
      <c r="L41" s="2"/>
      <c r="M41" s="2"/>
      <c r="N41" s="2"/>
      <c r="O41" s="2"/>
      <c r="P41" s="2"/>
      <c r="Q41" s="2"/>
      <c r="R41" s="2"/>
    </row>
    <row r="42" spans="2:18" s="3" customFormat="1" ht="15">
      <c r="B42" s="180"/>
      <c r="C42" s="108" t="s">
        <v>61</v>
      </c>
      <c r="D42" s="196" t="s">
        <v>336</v>
      </c>
      <c r="E42" s="65"/>
      <c r="F42" s="65"/>
      <c r="G42" s="63"/>
      <c r="I42" s="2"/>
      <c r="J42" s="4" t="s">
        <v>67</v>
      </c>
      <c r="K42" s="2"/>
      <c r="L42" s="2"/>
      <c r="M42" s="2"/>
      <c r="N42" s="2"/>
      <c r="O42" s="2"/>
      <c r="P42" s="2"/>
      <c r="Q42" s="2"/>
      <c r="R42" s="2"/>
    </row>
    <row r="43" spans="2:18" s="3" customFormat="1" ht="15.75" thickBot="1">
      <c r="B43" s="180"/>
      <c r="C43" s="108" t="s">
        <v>63</v>
      </c>
      <c r="D43" s="20">
        <v>41466</v>
      </c>
      <c r="E43" s="65"/>
      <c r="F43" s="65"/>
      <c r="G43" s="63"/>
      <c r="I43" s="2"/>
      <c r="J43" s="4" t="s">
        <v>68</v>
      </c>
      <c r="K43" s="2"/>
      <c r="L43" s="2"/>
      <c r="M43" s="2"/>
      <c r="N43" s="2"/>
      <c r="O43" s="2"/>
      <c r="P43" s="2"/>
      <c r="Q43" s="2"/>
      <c r="R43" s="2"/>
    </row>
    <row r="44" spans="2:18" s="3" customFormat="1" ht="15.75" thickBot="1">
      <c r="B44" s="180"/>
      <c r="C44" s="103" t="s">
        <v>321</v>
      </c>
      <c r="D44" s="65"/>
      <c r="E44" s="65"/>
      <c r="F44" s="65"/>
      <c r="G44" s="63"/>
      <c r="I44" s="2"/>
      <c r="J44" s="4" t="s">
        <v>69</v>
      </c>
      <c r="K44" s="2"/>
      <c r="L44" s="2"/>
      <c r="M44" s="2"/>
      <c r="N44" s="2"/>
      <c r="O44" s="2"/>
      <c r="P44" s="2"/>
      <c r="Q44" s="2"/>
      <c r="R44" s="2"/>
    </row>
    <row r="45" spans="2:18" s="3" customFormat="1" ht="15">
      <c r="B45" s="180"/>
      <c r="C45" s="108" t="s">
        <v>59</v>
      </c>
      <c r="D45" s="19" t="s">
        <v>337</v>
      </c>
      <c r="E45" s="65"/>
      <c r="F45" s="65"/>
      <c r="G45" s="63"/>
      <c r="I45" s="2"/>
      <c r="J45" s="4" t="s">
        <v>70</v>
      </c>
      <c r="K45" s="2"/>
      <c r="L45" s="2"/>
      <c r="M45" s="2"/>
      <c r="N45" s="2"/>
      <c r="O45" s="2"/>
      <c r="P45" s="2"/>
      <c r="Q45" s="2"/>
      <c r="R45" s="2"/>
    </row>
    <row r="46" spans="2:18" s="3" customFormat="1" ht="15">
      <c r="B46" s="180"/>
      <c r="C46" s="108" t="s">
        <v>61</v>
      </c>
      <c r="D46" s="196" t="s">
        <v>338</v>
      </c>
      <c r="E46" s="65"/>
      <c r="F46" s="65"/>
      <c r="G46" s="63"/>
      <c r="I46" s="2"/>
      <c r="J46" s="4" t="s">
        <v>71</v>
      </c>
      <c r="K46" s="2"/>
      <c r="L46" s="2"/>
      <c r="M46" s="2"/>
      <c r="N46" s="2"/>
      <c r="O46" s="2"/>
      <c r="P46" s="2"/>
      <c r="Q46" s="2"/>
      <c r="R46" s="2"/>
    </row>
    <row r="47" spans="1:10" ht="15.75" thickBot="1">
      <c r="A47" s="3"/>
      <c r="B47" s="180"/>
      <c r="C47" s="108" t="s">
        <v>63</v>
      </c>
      <c r="D47" s="20">
        <v>41466</v>
      </c>
      <c r="E47" s="65"/>
      <c r="F47" s="65"/>
      <c r="G47" s="63"/>
      <c r="J47" s="4" t="s">
        <v>72</v>
      </c>
    </row>
    <row r="48" spans="2:10" ht="15.75" thickBot="1">
      <c r="B48" s="180"/>
      <c r="C48" s="103" t="s">
        <v>206</v>
      </c>
      <c r="D48" s="65"/>
      <c r="E48" s="65"/>
      <c r="F48" s="65"/>
      <c r="G48" s="63"/>
      <c r="J48" s="4" t="s">
        <v>73</v>
      </c>
    </row>
    <row r="49" spans="2:10" ht="15">
      <c r="B49" s="180"/>
      <c r="C49" s="108" t="s">
        <v>59</v>
      </c>
      <c r="D49" s="19" t="s">
        <v>351</v>
      </c>
      <c r="E49" s="65"/>
      <c r="F49" s="65"/>
      <c r="G49" s="63"/>
      <c r="J49" s="4" t="s">
        <v>74</v>
      </c>
    </row>
    <row r="50" spans="2:10" ht="15">
      <c r="B50" s="180"/>
      <c r="C50" s="108" t="s">
        <v>61</v>
      </c>
      <c r="D50" s="196" t="s">
        <v>352</v>
      </c>
      <c r="E50" s="65"/>
      <c r="F50" s="65"/>
      <c r="G50" s="63"/>
      <c r="J50" s="4" t="s">
        <v>75</v>
      </c>
    </row>
    <row r="51" spans="2:10" ht="15.75" thickBot="1">
      <c r="B51" s="180"/>
      <c r="C51" s="108" t="s">
        <v>63</v>
      </c>
      <c r="D51" s="20">
        <v>41466</v>
      </c>
      <c r="E51" s="65"/>
      <c r="F51" s="65"/>
      <c r="G51" s="63"/>
      <c r="J51" s="4" t="s">
        <v>76</v>
      </c>
    </row>
    <row r="52" spans="2:10" ht="15.75" thickBot="1">
      <c r="B52" s="180"/>
      <c r="C52" s="103" t="s">
        <v>206</v>
      </c>
      <c r="D52" s="65"/>
      <c r="E52" s="65"/>
      <c r="F52" s="65"/>
      <c r="G52" s="63"/>
      <c r="J52" s="4" t="s">
        <v>77</v>
      </c>
    </row>
    <row r="53" spans="2:10" ht="15">
      <c r="B53" s="180"/>
      <c r="C53" s="108" t="s">
        <v>59</v>
      </c>
      <c r="D53" s="19"/>
      <c r="E53" s="65"/>
      <c r="F53" s="65"/>
      <c r="G53" s="63"/>
      <c r="J53" s="4" t="s">
        <v>78</v>
      </c>
    </row>
    <row r="54" spans="2:10" ht="15">
      <c r="B54" s="180"/>
      <c r="C54" s="108" t="s">
        <v>61</v>
      </c>
      <c r="D54" s="18"/>
      <c r="E54" s="65"/>
      <c r="F54" s="65"/>
      <c r="G54" s="63"/>
      <c r="J54" s="4" t="s">
        <v>79</v>
      </c>
    </row>
    <row r="55" spans="2:10" ht="15.75" thickBot="1">
      <c r="B55" s="180"/>
      <c r="C55" s="108" t="s">
        <v>63</v>
      </c>
      <c r="D55" s="20"/>
      <c r="E55" s="65"/>
      <c r="F55" s="65"/>
      <c r="G55" s="63"/>
      <c r="J55" s="4" t="s">
        <v>80</v>
      </c>
    </row>
    <row r="56" spans="2:10" ht="15.75" thickBot="1">
      <c r="B56" s="180"/>
      <c r="C56" s="103" t="s">
        <v>206</v>
      </c>
      <c r="D56" s="65"/>
      <c r="E56" s="65"/>
      <c r="F56" s="65"/>
      <c r="G56" s="63"/>
      <c r="J56" s="4" t="s">
        <v>81</v>
      </c>
    </row>
    <row r="57" spans="2:10" ht="15">
      <c r="B57" s="180"/>
      <c r="C57" s="108" t="s">
        <v>59</v>
      </c>
      <c r="D57" s="19"/>
      <c r="E57" s="65"/>
      <c r="F57" s="65"/>
      <c r="G57" s="63"/>
      <c r="J57" s="4" t="s">
        <v>82</v>
      </c>
    </row>
    <row r="58" spans="2:10" ht="15">
      <c r="B58" s="180"/>
      <c r="C58" s="108" t="s">
        <v>61</v>
      </c>
      <c r="D58" s="18"/>
      <c r="E58" s="65"/>
      <c r="F58" s="65"/>
      <c r="G58" s="63"/>
      <c r="J58" s="4" t="s">
        <v>83</v>
      </c>
    </row>
    <row r="59" spans="2:10" ht="15.75" thickBot="1">
      <c r="B59" s="180"/>
      <c r="C59" s="108" t="s">
        <v>63</v>
      </c>
      <c r="D59" s="20"/>
      <c r="E59" s="65"/>
      <c r="F59" s="65"/>
      <c r="G59" s="63"/>
      <c r="J59" s="4" t="s">
        <v>84</v>
      </c>
    </row>
    <row r="60" spans="2:10" ht="15.75" thickBot="1">
      <c r="B60" s="185"/>
      <c r="C60" s="186"/>
      <c r="D60" s="109"/>
      <c r="E60" s="109"/>
      <c r="F60" s="109"/>
      <c r="G60" s="77"/>
      <c r="J60" s="4" t="s">
        <v>85</v>
      </c>
    </row>
    <row r="61" ht="15">
      <c r="J61" s="4" t="s">
        <v>86</v>
      </c>
    </row>
    <row r="62" ht="15">
      <c r="J62" s="4" t="s">
        <v>87</v>
      </c>
    </row>
    <row r="63" ht="15">
      <c r="J63" s="4" t="s">
        <v>88</v>
      </c>
    </row>
    <row r="64" ht="15">
      <c r="J64" s="4" t="s">
        <v>89</v>
      </c>
    </row>
    <row r="65" ht="15">
      <c r="J65" s="4" t="s">
        <v>90</v>
      </c>
    </row>
    <row r="66" ht="15">
      <c r="J66" s="4" t="s">
        <v>91</v>
      </c>
    </row>
    <row r="67" ht="15">
      <c r="J67" s="4" t="s">
        <v>92</v>
      </c>
    </row>
    <row r="68" ht="15">
      <c r="J68" s="4" t="s">
        <v>93</v>
      </c>
    </row>
    <row r="69" ht="15">
      <c r="J69" s="4" t="s">
        <v>94</v>
      </c>
    </row>
    <row r="70" ht="15">
      <c r="J70" s="4" t="s">
        <v>95</v>
      </c>
    </row>
    <row r="71" ht="15">
      <c r="J71" s="4" t="s">
        <v>96</v>
      </c>
    </row>
    <row r="72" ht="15">
      <c r="J72" s="4" t="s">
        <v>97</v>
      </c>
    </row>
    <row r="73" ht="15">
      <c r="J73" s="4" t="s">
        <v>98</v>
      </c>
    </row>
    <row r="74" ht="15">
      <c r="J74" s="4" t="s">
        <v>99</v>
      </c>
    </row>
    <row r="75" ht="15">
      <c r="J75" s="4" t="s">
        <v>100</v>
      </c>
    </row>
    <row r="76" ht="15">
      <c r="J76" s="4" t="s">
        <v>101</v>
      </c>
    </row>
    <row r="77" ht="15">
      <c r="J77" s="4" t="s">
        <v>102</v>
      </c>
    </row>
    <row r="78" ht="15">
      <c r="J78" s="4" t="s">
        <v>103</v>
      </c>
    </row>
    <row r="79" ht="15">
      <c r="J79" s="4" t="s">
        <v>104</v>
      </c>
    </row>
    <row r="80" ht="15">
      <c r="J80" s="4" t="s">
        <v>105</v>
      </c>
    </row>
    <row r="81" ht="15">
      <c r="J81" s="4" t="s">
        <v>106</v>
      </c>
    </row>
    <row r="82" ht="15">
      <c r="J82" s="4" t="s">
        <v>107</v>
      </c>
    </row>
    <row r="83" ht="15">
      <c r="J83" s="4" t="s">
        <v>108</v>
      </c>
    </row>
    <row r="84" ht="15">
      <c r="J84" s="4" t="s">
        <v>109</v>
      </c>
    </row>
    <row r="85" ht="15">
      <c r="J85" s="4" t="s">
        <v>110</v>
      </c>
    </row>
    <row r="86" ht="15">
      <c r="J86" s="4" t="s">
        <v>111</v>
      </c>
    </row>
    <row r="87" ht="15">
      <c r="J87" s="4" t="s">
        <v>112</v>
      </c>
    </row>
    <row r="88" ht="15">
      <c r="J88" s="4" t="s">
        <v>113</v>
      </c>
    </row>
    <row r="89" ht="15">
      <c r="J89" s="4" t="s">
        <v>114</v>
      </c>
    </row>
    <row r="90" ht="15">
      <c r="J90" s="4" t="s">
        <v>115</v>
      </c>
    </row>
    <row r="91" ht="15">
      <c r="J91" s="4" t="s">
        <v>116</v>
      </c>
    </row>
    <row r="92" ht="15">
      <c r="J92" s="4" t="s">
        <v>117</v>
      </c>
    </row>
    <row r="93" ht="15">
      <c r="J93" s="4" t="s">
        <v>118</v>
      </c>
    </row>
    <row r="94" ht="15">
      <c r="J94" s="4" t="s">
        <v>119</v>
      </c>
    </row>
    <row r="95" ht="15">
      <c r="J95" s="4" t="s">
        <v>120</v>
      </c>
    </row>
    <row r="96" ht="15">
      <c r="J96" s="4" t="s">
        <v>121</v>
      </c>
    </row>
    <row r="97" ht="15">
      <c r="J97" s="4" t="s">
        <v>122</v>
      </c>
    </row>
    <row r="98" ht="15">
      <c r="J98" s="4" t="s">
        <v>123</v>
      </c>
    </row>
    <row r="99" ht="15">
      <c r="J99" s="4" t="s">
        <v>124</v>
      </c>
    </row>
    <row r="100" ht="15">
      <c r="J100" s="4" t="s">
        <v>125</v>
      </c>
    </row>
    <row r="101" ht="15">
      <c r="J101" s="4" t="s">
        <v>126</v>
      </c>
    </row>
    <row r="102" ht="15">
      <c r="J102" s="4" t="s">
        <v>127</v>
      </c>
    </row>
    <row r="103" ht="15">
      <c r="J103" s="4" t="s">
        <v>128</v>
      </c>
    </row>
    <row r="104" ht="15">
      <c r="J104" s="4" t="s">
        <v>129</v>
      </c>
    </row>
    <row r="105" ht="15">
      <c r="J105" s="4" t="s">
        <v>130</v>
      </c>
    </row>
    <row r="106" ht="15">
      <c r="J106" s="4" t="s">
        <v>131</v>
      </c>
    </row>
    <row r="107" ht="15">
      <c r="J107" s="4" t="s">
        <v>132</v>
      </c>
    </row>
    <row r="108" ht="15">
      <c r="J108" s="4" t="s">
        <v>133</v>
      </c>
    </row>
    <row r="109" ht="15">
      <c r="J109" s="4" t="s">
        <v>134</v>
      </c>
    </row>
    <row r="110" ht="15">
      <c r="J110" s="4" t="s">
        <v>135</v>
      </c>
    </row>
    <row r="111" ht="15">
      <c r="J111" s="4" t="s">
        <v>136</v>
      </c>
    </row>
    <row r="112" ht="15">
      <c r="J112" s="4" t="s">
        <v>137</v>
      </c>
    </row>
    <row r="113" ht="15">
      <c r="J113" s="4" t="s">
        <v>138</v>
      </c>
    </row>
    <row r="114" ht="15">
      <c r="J114" s="4" t="s">
        <v>139</v>
      </c>
    </row>
    <row r="115" ht="15">
      <c r="J115" s="4" t="s">
        <v>140</v>
      </c>
    </row>
    <row r="116" ht="15">
      <c r="J116" s="4" t="s">
        <v>141</v>
      </c>
    </row>
    <row r="117" ht="15">
      <c r="J117" s="4" t="s">
        <v>142</v>
      </c>
    </row>
    <row r="118" ht="15">
      <c r="J118" s="4" t="s">
        <v>143</v>
      </c>
    </row>
    <row r="119" ht="15">
      <c r="J119" s="4" t="s">
        <v>144</v>
      </c>
    </row>
    <row r="120" ht="15">
      <c r="J120" s="4" t="s">
        <v>145</v>
      </c>
    </row>
    <row r="121" ht="15">
      <c r="J121" s="4" t="s">
        <v>146</v>
      </c>
    </row>
    <row r="122" ht="15">
      <c r="J122" s="4" t="s">
        <v>147</v>
      </c>
    </row>
    <row r="123" ht="15">
      <c r="J123" s="4" t="s">
        <v>148</v>
      </c>
    </row>
    <row r="124" ht="15">
      <c r="J124" s="4" t="s">
        <v>149</v>
      </c>
    </row>
    <row r="125" ht="15">
      <c r="J125" s="4" t="s">
        <v>150</v>
      </c>
    </row>
    <row r="126" ht="15">
      <c r="J126" s="4" t="s">
        <v>151</v>
      </c>
    </row>
    <row r="127" ht="15">
      <c r="J127" s="4" t="s">
        <v>152</v>
      </c>
    </row>
    <row r="128" ht="15">
      <c r="J128" s="4" t="s">
        <v>153</v>
      </c>
    </row>
    <row r="129" ht="15">
      <c r="J129" s="4" t="s">
        <v>154</v>
      </c>
    </row>
    <row r="130" ht="15">
      <c r="J130" s="4" t="s">
        <v>155</v>
      </c>
    </row>
    <row r="131" ht="15">
      <c r="J131" s="4" t="s">
        <v>156</v>
      </c>
    </row>
    <row r="132" ht="15">
      <c r="J132" s="4" t="s">
        <v>157</v>
      </c>
    </row>
    <row r="133" ht="15">
      <c r="J133" s="4" t="s">
        <v>158</v>
      </c>
    </row>
    <row r="134" ht="15">
      <c r="J134" s="4" t="s">
        <v>159</v>
      </c>
    </row>
    <row r="135" ht="15">
      <c r="J135" s="4" t="s">
        <v>160</v>
      </c>
    </row>
    <row r="136" ht="15">
      <c r="J136" s="4" t="s">
        <v>161</v>
      </c>
    </row>
    <row r="137" ht="15">
      <c r="J137" s="4" t="s">
        <v>162</v>
      </c>
    </row>
    <row r="138" ht="15">
      <c r="J138" s="4" t="s">
        <v>163</v>
      </c>
    </row>
    <row r="139" ht="15">
      <c r="J139" s="4" t="s">
        <v>164</v>
      </c>
    </row>
    <row r="140" ht="15">
      <c r="J140" s="4" t="s">
        <v>165</v>
      </c>
    </row>
    <row r="141" ht="15">
      <c r="J141" s="4" t="s">
        <v>166</v>
      </c>
    </row>
    <row r="142" ht="15">
      <c r="J142" s="4" t="s">
        <v>167</v>
      </c>
    </row>
    <row r="143" ht="15">
      <c r="J143" s="4" t="s">
        <v>168</v>
      </c>
    </row>
    <row r="144" ht="15">
      <c r="J144" s="4" t="s">
        <v>169</v>
      </c>
    </row>
    <row r="145" ht="15">
      <c r="J145" s="4" t="s">
        <v>170</v>
      </c>
    </row>
    <row r="146" ht="15">
      <c r="J146" s="4" t="s">
        <v>171</v>
      </c>
    </row>
    <row r="147" ht="15">
      <c r="J147" s="4" t="s">
        <v>172</v>
      </c>
    </row>
    <row r="148" ht="15">
      <c r="J148" s="4" t="s">
        <v>173</v>
      </c>
    </row>
    <row r="149" ht="15">
      <c r="J149" s="4" t="s">
        <v>174</v>
      </c>
    </row>
    <row r="150" ht="15">
      <c r="J150" s="4" t="s">
        <v>175</v>
      </c>
    </row>
    <row r="151" ht="15">
      <c r="J151" s="4" t="s">
        <v>176</v>
      </c>
    </row>
    <row r="152" ht="15">
      <c r="J152" s="4" t="s">
        <v>177</v>
      </c>
    </row>
    <row r="153" ht="15">
      <c r="J153" s="4" t="s">
        <v>178</v>
      </c>
    </row>
    <row r="154" ht="15">
      <c r="J154" s="4" t="s">
        <v>179</v>
      </c>
    </row>
    <row r="155" ht="15">
      <c r="J155" s="4" t="s">
        <v>180</v>
      </c>
    </row>
    <row r="156" ht="15">
      <c r="J156" s="4" t="s">
        <v>181</v>
      </c>
    </row>
    <row r="157" ht="15">
      <c r="J157" s="4" t="s">
        <v>182</v>
      </c>
    </row>
    <row r="158" ht="15">
      <c r="J158" s="4" t="s">
        <v>183</v>
      </c>
    </row>
    <row r="159" ht="15">
      <c r="J159" s="4" t="s">
        <v>184</v>
      </c>
    </row>
    <row r="160" ht="15">
      <c r="J160" s="4" t="s">
        <v>185</v>
      </c>
    </row>
    <row r="161" ht="15">
      <c r="J161" s="4" t="s">
        <v>186</v>
      </c>
    </row>
    <row r="162" ht="15">
      <c r="J162" s="4" t="s">
        <v>187</v>
      </c>
    </row>
    <row r="163" ht="15">
      <c r="J163" s="4" t="s">
        <v>188</v>
      </c>
    </row>
    <row r="164" ht="15">
      <c r="J164" s="4" t="s">
        <v>189</v>
      </c>
    </row>
    <row r="165" ht="15">
      <c r="J165" s="4" t="s">
        <v>190</v>
      </c>
    </row>
    <row r="166" ht="15">
      <c r="J166" s="4" t="s">
        <v>191</v>
      </c>
    </row>
    <row r="167" ht="15">
      <c r="J167" s="4" t="s">
        <v>192</v>
      </c>
    </row>
    <row r="168" ht="15">
      <c r="J168" s="4" t="s">
        <v>193</v>
      </c>
    </row>
    <row r="169" ht="15">
      <c r="J169" s="4" t="s">
        <v>194</v>
      </c>
    </row>
    <row r="170" ht="15">
      <c r="J170" s="4" t="s">
        <v>195</v>
      </c>
    </row>
    <row r="171" ht="15">
      <c r="J171" s="4" t="s">
        <v>196</v>
      </c>
    </row>
    <row r="172" ht="15">
      <c r="J172" s="4" t="s">
        <v>197</v>
      </c>
    </row>
    <row r="173" ht="15">
      <c r="J173" s="4" t="s">
        <v>198</v>
      </c>
    </row>
    <row r="174" ht="15">
      <c r="J174" s="4" t="s">
        <v>199</v>
      </c>
    </row>
    <row r="175" ht="15">
      <c r="J175" s="4" t="s">
        <v>200</v>
      </c>
    </row>
    <row r="176" ht="15">
      <c r="J176" s="4" t="s">
        <v>201</v>
      </c>
    </row>
    <row r="177" ht="15">
      <c r="J177" s="4" t="s">
        <v>202</v>
      </c>
    </row>
  </sheetData>
  <sheetProtection/>
  <mergeCells count="8">
    <mergeCell ref="D23:D24"/>
    <mergeCell ref="B16:C16"/>
    <mergeCell ref="B27:C27"/>
    <mergeCell ref="B36:C36"/>
    <mergeCell ref="B26:C26"/>
    <mergeCell ref="B19:C19"/>
    <mergeCell ref="B23:C24"/>
    <mergeCell ref="B25:C25"/>
  </mergeCells>
  <dataValidations count="4">
    <dataValidation type="list" allowBlank="1" showInputMessage="1" showErrorMessage="1" sqref="D65534">
      <formula1>$R$15:$R$26</formula1>
    </dataValidation>
    <dataValidation type="list" allowBlank="1" showInputMessage="1" showErrorMessage="1" sqref="D65533">
      <formula1>$Q$15:$Q$26</formula1>
    </dataValidation>
    <dataValidation type="list" allowBlank="1" showInputMessage="1" showErrorMessage="1" sqref="D65525">
      <formula1>$K$15:$K$17</formula1>
    </dataValidation>
    <dataValidation type="list" allowBlank="1" showInputMessage="1" showErrorMessage="1" sqref="D65526:D65530">
      <formula1>$J$15:$J$177</formula1>
    </dataValidation>
  </dataValidations>
  <hyperlinks>
    <hyperlink ref="D38" r:id="rId1" display="karlavanessa2005@gmail.com"/>
    <hyperlink ref="D42" r:id="rId2" display="dfuentes@marena.gob.ni"/>
    <hyperlink ref="D50" r:id="rId3" display="mzeledon@marena.gob.ni"/>
    <hyperlink ref="D46" r:id="rId4" display="fernanda.sanchez@undp.org"/>
    <hyperlink ref="D33" r:id="rId5" display="http://www.adaptation-fund.org/project/1331-reduction-risks-and-vulnerability-based-flooding-and-droughts-estero-real-river-watersh"/>
  </hyperlinks>
  <printOptions/>
  <pageMargins left="0.7" right="0.7" top="0.75" bottom="0.75" header="0.3" footer="0.3"/>
  <pageSetup horizontalDpi="600" verticalDpi="600" orientation="portrait" r:id="rId7"/>
  <drawing r:id="rId6"/>
</worksheet>
</file>

<file path=xl/worksheets/sheet2.xml><?xml version="1.0" encoding="utf-8"?>
<worksheet xmlns="http://schemas.openxmlformats.org/spreadsheetml/2006/main" xmlns:r="http://schemas.openxmlformats.org/officeDocument/2006/relationships">
  <dimension ref="B2:L81"/>
  <sheetViews>
    <sheetView zoomScale="70" zoomScaleNormal="70" zoomScalePageLayoutView="0" workbookViewId="0" topLeftCell="A31">
      <selection activeCell="G35" sqref="G35"/>
    </sheetView>
  </sheetViews>
  <sheetFormatPr defaultColWidth="9.140625" defaultRowHeight="15"/>
  <cols>
    <col min="1" max="1" width="9.140625" style="22" customWidth="1"/>
    <col min="2" max="2" width="9.140625" style="21" customWidth="1"/>
    <col min="3" max="3" width="15.7109375" style="21" customWidth="1"/>
    <col min="4" max="4" width="30.7109375" style="21" customWidth="1"/>
    <col min="5" max="6" width="30.7109375" style="22" customWidth="1"/>
    <col min="7" max="7" width="33.28125" style="22" customWidth="1"/>
    <col min="8" max="8" width="16.421875" style="22" customWidth="1"/>
    <col min="9" max="11" width="9.140625" style="22" customWidth="1"/>
    <col min="12" max="12" width="13.57421875" style="22" bestFit="1" customWidth="1"/>
    <col min="13" max="16384" width="9.140625" style="22" customWidth="1"/>
  </cols>
  <sheetData>
    <row r="1" ht="15.75" thickBot="1"/>
    <row r="2" spans="2:9" ht="15.75" thickBot="1">
      <c r="B2" s="86"/>
      <c r="C2" s="87"/>
      <c r="D2" s="87"/>
      <c r="E2" s="88"/>
      <c r="F2" s="88"/>
      <c r="G2" s="88"/>
      <c r="H2" s="88"/>
      <c r="I2" s="89"/>
    </row>
    <row r="3" spans="2:9" ht="21" thickBot="1">
      <c r="B3" s="90"/>
      <c r="C3" s="394" t="s">
        <v>370</v>
      </c>
      <c r="D3" s="395"/>
      <c r="E3" s="395"/>
      <c r="F3" s="395"/>
      <c r="G3" s="396"/>
      <c r="H3" s="93"/>
      <c r="I3" s="91"/>
    </row>
    <row r="4" spans="2:9" ht="15">
      <c r="B4" s="401"/>
      <c r="C4" s="402"/>
      <c r="D4" s="402"/>
      <c r="E4" s="402"/>
      <c r="F4" s="402"/>
      <c r="G4" s="402"/>
      <c r="H4" s="93"/>
      <c r="I4" s="91"/>
    </row>
    <row r="5" spans="2:9" ht="15">
      <c r="B5" s="92"/>
      <c r="C5" s="400"/>
      <c r="D5" s="400"/>
      <c r="E5" s="400"/>
      <c r="F5" s="400"/>
      <c r="G5" s="400"/>
      <c r="H5" s="93"/>
      <c r="I5" s="91"/>
    </row>
    <row r="6" spans="2:9" ht="15">
      <c r="B6" s="92"/>
      <c r="C6" s="64"/>
      <c r="D6" s="69"/>
      <c r="E6" s="65"/>
      <c r="F6" s="65"/>
      <c r="G6" s="93"/>
      <c r="H6" s="93"/>
      <c r="I6" s="91"/>
    </row>
    <row r="7" spans="2:9" ht="15" customHeight="1">
      <c r="B7" s="92"/>
      <c r="C7" s="368" t="s">
        <v>244</v>
      </c>
      <c r="D7" s="368"/>
      <c r="E7" s="66"/>
      <c r="F7" s="66"/>
      <c r="G7" s="93"/>
      <c r="H7" s="93"/>
      <c r="I7" s="91"/>
    </row>
    <row r="8" spans="2:9" ht="15.75" customHeight="1" thickBot="1">
      <c r="B8" s="92"/>
      <c r="C8" s="390" t="s">
        <v>278</v>
      </c>
      <c r="D8" s="390"/>
      <c r="E8" s="390"/>
      <c r="F8" s="390"/>
      <c r="G8" s="390"/>
      <c r="H8" s="93"/>
      <c r="I8" s="91"/>
    </row>
    <row r="9" spans="2:9" ht="49.5" customHeight="1" thickBot="1">
      <c r="B9" s="92"/>
      <c r="C9" s="368" t="s">
        <v>498</v>
      </c>
      <c r="D9" s="368"/>
      <c r="E9" s="403">
        <v>2142346</v>
      </c>
      <c r="F9" s="404"/>
      <c r="G9" s="405"/>
      <c r="H9" s="93"/>
      <c r="I9" s="91"/>
    </row>
    <row r="10" spans="2:9" ht="62.25" customHeight="1" thickBot="1">
      <c r="B10" s="92"/>
      <c r="C10" s="368" t="s">
        <v>245</v>
      </c>
      <c r="D10" s="368"/>
      <c r="E10" s="387"/>
      <c r="F10" s="388"/>
      <c r="G10" s="389"/>
      <c r="H10" s="280"/>
      <c r="I10" s="91"/>
    </row>
    <row r="11" spans="2:9" ht="15">
      <c r="B11" s="92"/>
      <c r="C11" s="69"/>
      <c r="D11" s="69"/>
      <c r="E11" s="93"/>
      <c r="F11" s="93"/>
      <c r="G11" s="93"/>
      <c r="H11" s="93"/>
      <c r="I11" s="91"/>
    </row>
    <row r="12" spans="2:9" ht="15.75" customHeight="1" thickBot="1">
      <c r="B12" s="92"/>
      <c r="C12" s="368" t="s">
        <v>218</v>
      </c>
      <c r="D12" s="368"/>
      <c r="E12" s="93"/>
      <c r="F12" s="93"/>
      <c r="G12" s="93"/>
      <c r="H12" s="93"/>
      <c r="I12" s="91"/>
    </row>
    <row r="13" spans="2:9" ht="49.5" customHeight="1" thickBot="1">
      <c r="B13" s="92"/>
      <c r="C13" s="368" t="s">
        <v>287</v>
      </c>
      <c r="D13" s="368"/>
      <c r="E13" s="190" t="s">
        <v>501</v>
      </c>
      <c r="F13" s="281" t="s">
        <v>502</v>
      </c>
      <c r="G13" s="191" t="s">
        <v>220</v>
      </c>
      <c r="H13" s="93"/>
      <c r="I13" s="91"/>
    </row>
    <row r="14" spans="2:9" ht="49.5" customHeight="1" thickBot="1">
      <c r="B14" s="92"/>
      <c r="C14" s="278"/>
      <c r="D14" s="278"/>
      <c r="E14" s="378" t="s">
        <v>365</v>
      </c>
      <c r="F14" s="287" t="s">
        <v>503</v>
      </c>
      <c r="G14" s="299">
        <v>357504.33</v>
      </c>
      <c r="H14" s="93"/>
      <c r="I14" s="91"/>
    </row>
    <row r="15" spans="2:9" ht="60.75" thickBot="1">
      <c r="B15" s="92"/>
      <c r="C15" s="278"/>
      <c r="D15" s="278"/>
      <c r="E15" s="379"/>
      <c r="F15" s="287" t="s">
        <v>504</v>
      </c>
      <c r="G15" s="299">
        <v>415818.72</v>
      </c>
      <c r="H15" s="93"/>
      <c r="I15" s="91"/>
    </row>
    <row r="16" spans="2:9" ht="90.75" thickBot="1">
      <c r="B16" s="92"/>
      <c r="C16" s="69"/>
      <c r="D16" s="69"/>
      <c r="E16" s="380"/>
      <c r="F16" s="282" t="s">
        <v>505</v>
      </c>
      <c r="G16" s="298">
        <v>29937.21</v>
      </c>
      <c r="H16" s="93"/>
      <c r="I16" s="91"/>
    </row>
    <row r="17" spans="2:9" ht="15.75" thickBot="1">
      <c r="B17" s="92"/>
      <c r="C17" s="69"/>
      <c r="D17" s="69"/>
      <c r="E17" s="382" t="s">
        <v>509</v>
      </c>
      <c r="F17" s="383"/>
      <c r="G17" s="246">
        <v>803260.66</v>
      </c>
      <c r="H17" s="93"/>
      <c r="I17" s="91"/>
    </row>
    <row r="18" spans="2:9" ht="90.75" thickBot="1">
      <c r="B18" s="92"/>
      <c r="C18" s="69"/>
      <c r="D18" s="69"/>
      <c r="E18" s="381" t="s">
        <v>366</v>
      </c>
      <c r="F18" s="283" t="s">
        <v>506</v>
      </c>
      <c r="G18" s="299">
        <v>97575.32</v>
      </c>
      <c r="H18" s="93"/>
      <c r="I18" s="91"/>
    </row>
    <row r="19" spans="2:9" ht="75.75" thickBot="1">
      <c r="B19" s="92"/>
      <c r="C19" s="69"/>
      <c r="D19" s="69"/>
      <c r="E19" s="379"/>
      <c r="F19" s="283" t="s">
        <v>507</v>
      </c>
      <c r="G19" s="299">
        <v>458466.65</v>
      </c>
      <c r="H19" s="93"/>
      <c r="I19" s="91"/>
    </row>
    <row r="20" spans="2:9" ht="60.75" thickBot="1">
      <c r="B20" s="92"/>
      <c r="C20" s="69"/>
      <c r="D20" s="69"/>
      <c r="E20" s="380"/>
      <c r="F20" s="283" t="s">
        <v>508</v>
      </c>
      <c r="G20" s="299">
        <v>27777.57</v>
      </c>
      <c r="H20" s="93"/>
      <c r="I20" s="91"/>
    </row>
    <row r="21" spans="2:9" ht="15.75" thickBot="1">
      <c r="B21" s="92"/>
      <c r="C21" s="69"/>
      <c r="D21" s="69"/>
      <c r="E21" s="382" t="s">
        <v>510</v>
      </c>
      <c r="F21" s="383"/>
      <c r="G21" s="246">
        <v>583819.54</v>
      </c>
      <c r="H21" s="93"/>
      <c r="I21" s="91"/>
    </row>
    <row r="22" spans="2:9" ht="90.75" thickBot="1">
      <c r="B22" s="92"/>
      <c r="C22" s="69"/>
      <c r="D22" s="69"/>
      <c r="E22" s="381" t="s">
        <v>367</v>
      </c>
      <c r="F22" s="283" t="s">
        <v>511</v>
      </c>
      <c r="G22" s="299">
        <v>12571.76</v>
      </c>
      <c r="H22" s="93"/>
      <c r="I22" s="91"/>
    </row>
    <row r="23" spans="2:9" ht="105.75" thickBot="1">
      <c r="B23" s="92"/>
      <c r="C23" s="69"/>
      <c r="D23" s="69"/>
      <c r="E23" s="379"/>
      <c r="F23" s="283" t="s">
        <v>512</v>
      </c>
      <c r="G23" s="299">
        <v>859.59</v>
      </c>
      <c r="H23" s="93"/>
      <c r="I23" s="91"/>
    </row>
    <row r="24" spans="2:9" ht="75.75" thickBot="1">
      <c r="B24" s="92"/>
      <c r="C24" s="69"/>
      <c r="D24" s="69"/>
      <c r="E24" s="379"/>
      <c r="F24" s="283" t="s">
        <v>513</v>
      </c>
      <c r="G24" s="299"/>
      <c r="H24" s="93"/>
      <c r="I24" s="91"/>
    </row>
    <row r="25" spans="2:9" ht="105.75" thickBot="1">
      <c r="B25" s="92"/>
      <c r="C25" s="69"/>
      <c r="D25" s="69"/>
      <c r="E25" s="380"/>
      <c r="F25" s="283" t="s">
        <v>514</v>
      </c>
      <c r="G25" s="299"/>
      <c r="H25" s="93"/>
      <c r="I25" s="91"/>
    </row>
    <row r="26" spans="2:9" ht="15.75" thickBot="1">
      <c r="B26" s="92"/>
      <c r="C26" s="69"/>
      <c r="D26" s="69"/>
      <c r="E26" s="392" t="s">
        <v>515</v>
      </c>
      <c r="F26" s="393"/>
      <c r="G26" s="246">
        <v>13431.35</v>
      </c>
      <c r="H26" s="93"/>
      <c r="I26" s="91"/>
    </row>
    <row r="27" spans="2:9" ht="90.75" thickBot="1">
      <c r="B27" s="92"/>
      <c r="C27" s="69"/>
      <c r="D27" s="69"/>
      <c r="E27" s="381" t="s">
        <v>368</v>
      </c>
      <c r="F27" s="283" t="s">
        <v>516</v>
      </c>
      <c r="G27" s="299">
        <v>37113.55</v>
      </c>
      <c r="H27" s="93"/>
      <c r="I27" s="91"/>
    </row>
    <row r="28" spans="2:9" ht="60.75" thickBot="1">
      <c r="B28" s="92"/>
      <c r="C28" s="69"/>
      <c r="D28" s="69"/>
      <c r="E28" s="379"/>
      <c r="F28" s="283" t="s">
        <v>517</v>
      </c>
      <c r="G28" s="299">
        <v>9038.86</v>
      </c>
      <c r="H28" s="93"/>
      <c r="I28" s="91"/>
    </row>
    <row r="29" spans="2:9" ht="165.75" thickBot="1">
      <c r="B29" s="92"/>
      <c r="C29" s="69"/>
      <c r="D29" s="69"/>
      <c r="E29" s="380"/>
      <c r="F29" s="283" t="s">
        <v>518</v>
      </c>
      <c r="G29" s="299">
        <v>77721.51</v>
      </c>
      <c r="H29" s="93"/>
      <c r="I29" s="91"/>
    </row>
    <row r="30" spans="2:9" ht="15.75" thickBot="1">
      <c r="B30" s="92"/>
      <c r="C30" s="69"/>
      <c r="D30" s="69"/>
      <c r="E30" s="392" t="s">
        <v>519</v>
      </c>
      <c r="F30" s="393"/>
      <c r="G30" s="246">
        <v>123873.92</v>
      </c>
      <c r="H30" s="93"/>
      <c r="I30" s="91"/>
    </row>
    <row r="31" spans="2:9" ht="15">
      <c r="B31" s="92"/>
      <c r="C31" s="69"/>
      <c r="D31" s="69"/>
      <c r="E31" s="24" t="s">
        <v>369</v>
      </c>
      <c r="F31" s="283"/>
      <c r="G31" s="243">
        <v>214306.64</v>
      </c>
      <c r="H31" s="93"/>
      <c r="I31" s="91"/>
    </row>
    <row r="32" spans="2:9" ht="15">
      <c r="B32" s="92"/>
      <c r="C32" s="69"/>
      <c r="D32" s="69"/>
      <c r="E32" s="24"/>
      <c r="F32" s="284"/>
      <c r="G32" s="244"/>
      <c r="H32" s="93"/>
      <c r="I32" s="91"/>
    </row>
    <row r="33" spans="2:9" ht="15">
      <c r="B33" s="92"/>
      <c r="C33" s="69"/>
      <c r="D33" s="69"/>
      <c r="E33" s="24"/>
      <c r="F33" s="284"/>
      <c r="G33" s="244"/>
      <c r="H33" s="93"/>
      <c r="I33" s="91"/>
    </row>
    <row r="34" spans="2:12" ht="15.75" thickBot="1">
      <c r="B34" s="92"/>
      <c r="C34" s="69"/>
      <c r="D34" s="69"/>
      <c r="E34" s="188"/>
      <c r="F34" s="285"/>
      <c r="G34" s="245"/>
      <c r="H34" s="93"/>
      <c r="I34" s="91"/>
      <c r="L34" s="269"/>
    </row>
    <row r="35" spans="2:12" ht="15.75" thickBot="1">
      <c r="B35" s="92"/>
      <c r="C35" s="69"/>
      <c r="D35" s="69"/>
      <c r="E35" s="189" t="s">
        <v>324</v>
      </c>
      <c r="F35" s="286"/>
      <c r="G35" s="246">
        <f>SUM(G16:G34)</f>
        <v>2489754.1300000004</v>
      </c>
      <c r="H35" s="93"/>
      <c r="I35" s="91"/>
      <c r="L35" s="269"/>
    </row>
    <row r="36" spans="2:12" ht="15">
      <c r="B36" s="92"/>
      <c r="C36" s="69"/>
      <c r="D36" s="69"/>
      <c r="E36" s="93"/>
      <c r="F36" s="93"/>
      <c r="G36" s="93"/>
      <c r="H36" s="93"/>
      <c r="I36" s="91"/>
      <c r="L36" s="270"/>
    </row>
    <row r="37" spans="2:9" ht="15.75" customHeight="1" thickBot="1">
      <c r="B37" s="92"/>
      <c r="C37" s="368" t="s">
        <v>219</v>
      </c>
      <c r="D37" s="368"/>
      <c r="E37" s="93"/>
      <c r="F37" s="93"/>
      <c r="G37" s="93"/>
      <c r="H37" s="93"/>
      <c r="I37" s="91"/>
    </row>
    <row r="38" spans="2:9" ht="49.5" customHeight="1" thickBot="1">
      <c r="B38" s="92"/>
      <c r="C38" s="368" t="s">
        <v>288</v>
      </c>
      <c r="D38" s="368"/>
      <c r="E38" s="230" t="s">
        <v>520</v>
      </c>
      <c r="F38" s="281" t="s">
        <v>502</v>
      </c>
      <c r="G38" s="192" t="s">
        <v>348</v>
      </c>
      <c r="H38" s="132" t="s">
        <v>279</v>
      </c>
      <c r="I38" s="91"/>
    </row>
    <row r="39" spans="2:9" ht="49.5" customHeight="1" thickBot="1">
      <c r="B39" s="92"/>
      <c r="C39" s="278"/>
      <c r="D39" s="278"/>
      <c r="E39" s="378" t="s">
        <v>365</v>
      </c>
      <c r="F39" s="287" t="s">
        <v>503</v>
      </c>
      <c r="G39" s="299">
        <v>32450.37</v>
      </c>
      <c r="H39" s="288"/>
      <c r="I39" s="91"/>
    </row>
    <row r="40" spans="2:9" ht="60.75" thickBot="1">
      <c r="B40" s="92"/>
      <c r="C40" s="278"/>
      <c r="D40" s="278"/>
      <c r="E40" s="379"/>
      <c r="F40" s="287" t="s">
        <v>504</v>
      </c>
      <c r="G40" s="299">
        <v>762494.03</v>
      </c>
      <c r="H40" s="288"/>
      <c r="I40" s="91"/>
    </row>
    <row r="41" spans="2:9" ht="90.75" thickBot="1">
      <c r="B41" s="92"/>
      <c r="C41" s="69"/>
      <c r="D41" s="69"/>
      <c r="E41" s="380"/>
      <c r="F41" s="282" t="s">
        <v>505</v>
      </c>
      <c r="G41" s="299">
        <v>18904.15</v>
      </c>
      <c r="H41" s="247"/>
      <c r="I41" s="91"/>
    </row>
    <row r="42" spans="2:9" ht="15.75" thickBot="1">
      <c r="B42" s="92"/>
      <c r="C42" s="69"/>
      <c r="D42" s="69"/>
      <c r="E42" s="392" t="s">
        <v>509</v>
      </c>
      <c r="F42" s="393"/>
      <c r="G42" s="246">
        <f>SUM(G39:G41)</f>
        <v>813848.55</v>
      </c>
      <c r="H42" s="289">
        <v>41791</v>
      </c>
      <c r="I42" s="91"/>
    </row>
    <row r="43" spans="2:9" ht="90.75" thickBot="1">
      <c r="B43" s="92"/>
      <c r="C43" s="69"/>
      <c r="D43" s="69"/>
      <c r="E43" s="381" t="s">
        <v>366</v>
      </c>
      <c r="F43" s="283" t="s">
        <v>506</v>
      </c>
      <c r="G43" s="299">
        <v>177365.83</v>
      </c>
      <c r="H43" s="247"/>
      <c r="I43" s="91"/>
    </row>
    <row r="44" spans="2:9" ht="75.75" thickBot="1">
      <c r="B44" s="92"/>
      <c r="C44" s="69"/>
      <c r="D44" s="69"/>
      <c r="E44" s="379"/>
      <c r="F44" s="283" t="s">
        <v>507</v>
      </c>
      <c r="G44" s="299">
        <v>252841.49</v>
      </c>
      <c r="H44" s="247"/>
      <c r="I44" s="91"/>
    </row>
    <row r="45" spans="2:9" ht="60.75" thickBot="1">
      <c r="B45" s="92"/>
      <c r="C45" s="69"/>
      <c r="D45" s="69"/>
      <c r="E45" s="380"/>
      <c r="F45" s="283" t="s">
        <v>508</v>
      </c>
      <c r="G45" s="299">
        <v>132040.01</v>
      </c>
      <c r="H45" s="247"/>
      <c r="I45" s="91"/>
    </row>
    <row r="46" spans="2:9" ht="15.75" thickBot="1">
      <c r="B46" s="92"/>
      <c r="C46" s="69"/>
      <c r="D46" s="69"/>
      <c r="E46" s="392" t="s">
        <v>510</v>
      </c>
      <c r="F46" s="393"/>
      <c r="G46" s="246">
        <f>SUM(G43:G45)</f>
        <v>562247.33</v>
      </c>
      <c r="H46" s="289">
        <v>41791</v>
      </c>
      <c r="I46" s="91"/>
    </row>
    <row r="47" spans="2:9" ht="90.75" thickBot="1">
      <c r="B47" s="92"/>
      <c r="C47" s="69"/>
      <c r="D47" s="69"/>
      <c r="E47" s="381" t="s">
        <v>367</v>
      </c>
      <c r="F47" s="283" t="s">
        <v>511</v>
      </c>
      <c r="G47" s="299">
        <v>50260.9</v>
      </c>
      <c r="H47" s="247"/>
      <c r="I47" s="91"/>
    </row>
    <row r="48" spans="2:9" ht="105.75" thickBot="1">
      <c r="B48" s="92"/>
      <c r="C48" s="69"/>
      <c r="D48" s="69"/>
      <c r="E48" s="379"/>
      <c r="F48" s="283" t="s">
        <v>512</v>
      </c>
      <c r="G48" s="299">
        <v>16367.61</v>
      </c>
      <c r="H48" s="247"/>
      <c r="I48" s="91"/>
    </row>
    <row r="49" spans="2:9" ht="75.75" thickBot="1">
      <c r="B49" s="92"/>
      <c r="C49" s="69"/>
      <c r="D49" s="69"/>
      <c r="E49" s="379"/>
      <c r="F49" s="283" t="s">
        <v>513</v>
      </c>
      <c r="G49" s="299"/>
      <c r="H49" s="247"/>
      <c r="I49" s="91"/>
    </row>
    <row r="50" spans="2:9" ht="105.75" thickBot="1">
      <c r="B50" s="92"/>
      <c r="C50" s="69"/>
      <c r="D50" s="69"/>
      <c r="E50" s="380"/>
      <c r="F50" s="283" t="s">
        <v>514</v>
      </c>
      <c r="G50" s="299"/>
      <c r="H50" s="247"/>
      <c r="I50" s="91"/>
    </row>
    <row r="51" spans="2:9" ht="15.75" thickBot="1">
      <c r="B51" s="92"/>
      <c r="C51" s="69"/>
      <c r="D51" s="69"/>
      <c r="E51" s="392" t="s">
        <v>515</v>
      </c>
      <c r="F51" s="393"/>
      <c r="G51" s="246">
        <f>SUM(G47:G50)</f>
        <v>66628.51000000001</v>
      </c>
      <c r="H51" s="289">
        <v>41791</v>
      </c>
      <c r="I51" s="91"/>
    </row>
    <row r="52" spans="2:9" ht="90.75" thickBot="1">
      <c r="B52" s="92"/>
      <c r="C52" s="69"/>
      <c r="D52" s="69"/>
      <c r="E52" s="381" t="s">
        <v>368</v>
      </c>
      <c r="F52" s="283" t="s">
        <v>516</v>
      </c>
      <c r="G52" s="299">
        <v>62513.99</v>
      </c>
      <c r="H52" s="247">
        <v>41791</v>
      </c>
      <c r="I52" s="91"/>
    </row>
    <row r="53" spans="2:9" ht="60.75" thickBot="1">
      <c r="B53" s="92"/>
      <c r="C53" s="69"/>
      <c r="D53" s="69"/>
      <c r="E53" s="379"/>
      <c r="F53" s="283" t="s">
        <v>517</v>
      </c>
      <c r="G53" s="299">
        <v>55594.54</v>
      </c>
      <c r="H53" s="247"/>
      <c r="I53" s="91"/>
    </row>
    <row r="54" spans="2:9" ht="165.75" thickBot="1">
      <c r="B54" s="92"/>
      <c r="C54" s="69"/>
      <c r="D54" s="69"/>
      <c r="E54" s="380"/>
      <c r="F54" s="283" t="s">
        <v>518</v>
      </c>
      <c r="G54" s="299">
        <v>191789.67</v>
      </c>
      <c r="H54" s="247"/>
      <c r="I54" s="91"/>
    </row>
    <row r="55" spans="2:9" ht="15.75" thickBot="1">
      <c r="B55" s="92"/>
      <c r="C55" s="69"/>
      <c r="D55" s="69"/>
      <c r="E55" s="392" t="s">
        <v>519</v>
      </c>
      <c r="F55" s="393"/>
      <c r="G55" s="246">
        <f>SUM(G52:G54)</f>
        <v>309898.2</v>
      </c>
      <c r="H55" s="289">
        <v>41791</v>
      </c>
      <c r="I55" s="91"/>
    </row>
    <row r="56" spans="2:9" ht="15">
      <c r="B56" s="92"/>
      <c r="C56" s="69"/>
      <c r="D56" s="69"/>
      <c r="E56" s="24" t="s">
        <v>369</v>
      </c>
      <c r="F56" s="283"/>
      <c r="G56" s="243">
        <v>110000</v>
      </c>
      <c r="H56" s="247">
        <v>41791</v>
      </c>
      <c r="I56" s="91"/>
    </row>
    <row r="57" spans="2:9" ht="15">
      <c r="B57" s="92"/>
      <c r="C57" s="69"/>
      <c r="D57" s="69"/>
      <c r="E57" s="24"/>
      <c r="F57" s="284"/>
      <c r="G57" s="235"/>
      <c r="H57" s="37"/>
      <c r="I57" s="91"/>
    </row>
    <row r="58" spans="2:9" ht="15">
      <c r="B58" s="92"/>
      <c r="C58" s="69"/>
      <c r="D58" s="69"/>
      <c r="E58" s="24"/>
      <c r="F58" s="284"/>
      <c r="G58" s="235"/>
      <c r="H58" s="37"/>
      <c r="I58" s="91"/>
    </row>
    <row r="59" spans="2:9" ht="15.75" thickBot="1">
      <c r="B59" s="92"/>
      <c r="C59" s="69"/>
      <c r="D59" s="69"/>
      <c r="E59" s="188"/>
      <c r="F59" s="285"/>
      <c r="G59" s="248"/>
      <c r="H59" s="249"/>
      <c r="I59" s="91"/>
    </row>
    <row r="60" spans="2:9" ht="15.75" thickBot="1">
      <c r="B60" s="92"/>
      <c r="C60" s="69"/>
      <c r="D60" s="69"/>
      <c r="E60" s="257" t="s">
        <v>324</v>
      </c>
      <c r="F60" s="257"/>
      <c r="G60" s="258">
        <f>SUM(G41:G59)</f>
        <v>2820300.7800000003</v>
      </c>
      <c r="H60" s="250"/>
      <c r="I60" s="91"/>
    </row>
    <row r="61" spans="2:9" ht="15">
      <c r="B61" s="92"/>
      <c r="C61" s="69"/>
      <c r="D61" s="69"/>
      <c r="E61" s="93"/>
      <c r="F61" s="93"/>
      <c r="G61" s="93"/>
      <c r="H61" s="93"/>
      <c r="I61" s="91"/>
    </row>
    <row r="62" spans="2:9" ht="15.75" customHeight="1" thickBot="1">
      <c r="B62" s="92"/>
      <c r="C62" s="368" t="s">
        <v>214</v>
      </c>
      <c r="D62" s="368"/>
      <c r="E62" s="66"/>
      <c r="F62" s="66"/>
      <c r="G62" s="93"/>
      <c r="H62" s="93"/>
      <c r="I62" s="91"/>
    </row>
    <row r="63" spans="2:9" ht="49.5" customHeight="1" thickBot="1">
      <c r="B63" s="92"/>
      <c r="C63" s="368" t="s">
        <v>215</v>
      </c>
      <c r="D63" s="368"/>
      <c r="E63" s="397"/>
      <c r="F63" s="398"/>
      <c r="G63" s="399"/>
      <c r="H63" s="93"/>
      <c r="I63" s="91"/>
    </row>
    <row r="64" spans="2:9" ht="15">
      <c r="B64" s="92"/>
      <c r="C64" s="229"/>
      <c r="D64" s="229"/>
      <c r="E64" s="66"/>
      <c r="F64" s="66"/>
      <c r="G64" s="93"/>
      <c r="H64" s="93"/>
      <c r="I64" s="91"/>
    </row>
    <row r="65" spans="2:9" ht="15.75" customHeight="1" thickBot="1">
      <c r="B65" s="92"/>
      <c r="C65" s="391" t="s">
        <v>322</v>
      </c>
      <c r="D65" s="391"/>
      <c r="E65" s="391"/>
      <c r="F65" s="391"/>
      <c r="G65" s="391"/>
      <c r="H65" s="93"/>
      <c r="I65" s="91"/>
    </row>
    <row r="66" spans="2:9" ht="49.5" customHeight="1" thickBot="1">
      <c r="B66" s="92"/>
      <c r="C66" s="368" t="s">
        <v>216</v>
      </c>
      <c r="D66" s="368"/>
      <c r="E66" s="372"/>
      <c r="F66" s="373"/>
      <c r="G66" s="374"/>
      <c r="H66" s="93"/>
      <c r="I66" s="91"/>
    </row>
    <row r="67" spans="2:9" ht="99.75" customHeight="1" thickBot="1">
      <c r="B67" s="92"/>
      <c r="C67" s="368" t="s">
        <v>217</v>
      </c>
      <c r="D67" s="368"/>
      <c r="E67" s="369"/>
      <c r="F67" s="370"/>
      <c r="G67" s="371"/>
      <c r="H67" s="93"/>
      <c r="I67" s="91"/>
    </row>
    <row r="68" spans="2:9" ht="15">
      <c r="B68" s="92"/>
      <c r="C68" s="69"/>
      <c r="D68" s="69"/>
      <c r="E68" s="93"/>
      <c r="F68" s="93"/>
      <c r="G68" s="93"/>
      <c r="H68" s="93"/>
      <c r="I68" s="91"/>
    </row>
    <row r="69" spans="2:9" ht="15.75" thickBot="1">
      <c r="B69" s="94"/>
      <c r="C69" s="376"/>
      <c r="D69" s="376"/>
      <c r="E69" s="95"/>
      <c r="F69" s="95"/>
      <c r="G69" s="76"/>
      <c r="H69" s="76"/>
      <c r="I69" s="96"/>
    </row>
    <row r="70" spans="2:8" s="26" customFormat="1" ht="64.5" customHeight="1">
      <c r="B70" s="25"/>
      <c r="C70" s="375"/>
      <c r="D70" s="375"/>
      <c r="E70" s="377"/>
      <c r="F70" s="377"/>
      <c r="G70" s="377"/>
      <c r="H70" s="15"/>
    </row>
    <row r="71" spans="2:8" ht="59.25" customHeight="1">
      <c r="B71" s="25"/>
      <c r="C71" s="27"/>
      <c r="D71" s="27"/>
      <c r="E71" s="23"/>
      <c r="F71" s="23"/>
      <c r="G71" s="23"/>
      <c r="H71" s="15"/>
    </row>
    <row r="72" spans="2:8" ht="49.5" customHeight="1">
      <c r="B72" s="25"/>
      <c r="C72" s="384"/>
      <c r="D72" s="384"/>
      <c r="E72" s="386"/>
      <c r="F72" s="386"/>
      <c r="G72" s="386"/>
      <c r="H72" s="15"/>
    </row>
    <row r="73" spans="2:8" ht="99.75" customHeight="1">
      <c r="B73" s="25"/>
      <c r="C73" s="384"/>
      <c r="D73" s="384"/>
      <c r="E73" s="385"/>
      <c r="F73" s="385"/>
      <c r="G73" s="385"/>
      <c r="H73" s="15"/>
    </row>
    <row r="74" spans="2:8" ht="15">
      <c r="B74" s="25"/>
      <c r="C74" s="25"/>
      <c r="D74" s="25"/>
      <c r="E74" s="15"/>
      <c r="F74" s="15"/>
      <c r="G74" s="15"/>
      <c r="H74" s="15"/>
    </row>
    <row r="75" spans="2:8" ht="15">
      <c r="B75" s="25"/>
      <c r="C75" s="375"/>
      <c r="D75" s="375"/>
      <c r="E75" s="15"/>
      <c r="F75" s="15"/>
      <c r="G75" s="15"/>
      <c r="H75" s="15"/>
    </row>
    <row r="76" spans="2:8" ht="49.5" customHeight="1">
      <c r="B76" s="25"/>
      <c r="C76" s="375"/>
      <c r="D76" s="375"/>
      <c r="E76" s="385"/>
      <c r="F76" s="385"/>
      <c r="G76" s="385"/>
      <c r="H76" s="15"/>
    </row>
    <row r="77" spans="2:8" ht="99.75" customHeight="1">
      <c r="B77" s="25"/>
      <c r="C77" s="384"/>
      <c r="D77" s="384"/>
      <c r="E77" s="385"/>
      <c r="F77" s="385"/>
      <c r="G77" s="385"/>
      <c r="H77" s="15"/>
    </row>
    <row r="78" spans="2:8" ht="15">
      <c r="B78" s="25"/>
      <c r="C78" s="28"/>
      <c r="D78" s="25"/>
      <c r="E78" s="29"/>
      <c r="F78" s="29"/>
      <c r="G78" s="15"/>
      <c r="H78" s="15"/>
    </row>
    <row r="79" spans="2:8" ht="15">
      <c r="B79" s="25"/>
      <c r="C79" s="28"/>
      <c r="D79" s="28"/>
      <c r="E79" s="29"/>
      <c r="F79" s="29"/>
      <c r="G79" s="29"/>
      <c r="H79" s="14"/>
    </row>
    <row r="80" spans="5:7" ht="15">
      <c r="E80" s="30"/>
      <c r="F80" s="30"/>
      <c r="G80" s="30"/>
    </row>
    <row r="81" spans="5:7" ht="15">
      <c r="E81" s="30"/>
      <c r="F81" s="30"/>
      <c r="G81" s="30"/>
    </row>
  </sheetData>
  <sheetProtection/>
  <mergeCells count="49">
    <mergeCell ref="E43:E45"/>
    <mergeCell ref="E46:F46"/>
    <mergeCell ref="E51:F51"/>
    <mergeCell ref="E55:F55"/>
    <mergeCell ref="E21:F21"/>
    <mergeCell ref="E22:E25"/>
    <mergeCell ref="E26:F26"/>
    <mergeCell ref="E27:E29"/>
    <mergeCell ref="E30:F30"/>
    <mergeCell ref="E39:E41"/>
    <mergeCell ref="E47:E50"/>
    <mergeCell ref="E52:E54"/>
    <mergeCell ref="E42:F42"/>
    <mergeCell ref="C3:G3"/>
    <mergeCell ref="E63:G63"/>
    <mergeCell ref="C5:G5"/>
    <mergeCell ref="B4:G4"/>
    <mergeCell ref="C13:D13"/>
    <mergeCell ref="C7:D7"/>
    <mergeCell ref="E9:G9"/>
    <mergeCell ref="E10:G10"/>
    <mergeCell ref="C8:G8"/>
    <mergeCell ref="C12:D12"/>
    <mergeCell ref="C65:G65"/>
    <mergeCell ref="C9:D9"/>
    <mergeCell ref="C10:D10"/>
    <mergeCell ref="C37:D37"/>
    <mergeCell ref="C38:D38"/>
    <mergeCell ref="C63:D63"/>
    <mergeCell ref="C62:D62"/>
    <mergeCell ref="E14:E16"/>
    <mergeCell ref="E18:E20"/>
    <mergeCell ref="E17:F17"/>
    <mergeCell ref="C77:D77"/>
    <mergeCell ref="E76:G76"/>
    <mergeCell ref="E77:G77"/>
    <mergeCell ref="E73:G73"/>
    <mergeCell ref="E72:G72"/>
    <mergeCell ref="C72:D72"/>
    <mergeCell ref="C73:D73"/>
    <mergeCell ref="C66:D66"/>
    <mergeCell ref="E67:G67"/>
    <mergeCell ref="E66:G66"/>
    <mergeCell ref="C76:D76"/>
    <mergeCell ref="C75:D75"/>
    <mergeCell ref="C69:D69"/>
    <mergeCell ref="C70:D70"/>
    <mergeCell ref="E70:G70"/>
    <mergeCell ref="C67:D67"/>
  </mergeCells>
  <dataValidations count="2">
    <dataValidation type="whole" allowBlank="1" showInputMessage="1" showErrorMessage="1" sqref="E72:F72 E66:F66 E9:F9">
      <formula1>-999999999</formula1>
      <formula2>999999999</formula2>
    </dataValidation>
    <dataValidation type="list" allowBlank="1" showInputMessage="1" showErrorMessage="1" sqref="E76:F76">
      <formula1>#REF!</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I443"/>
  <sheetViews>
    <sheetView tabSelected="1" zoomScale="90" zoomScaleNormal="90" zoomScalePageLayoutView="0" workbookViewId="0" topLeftCell="A131">
      <selection activeCell="E139" sqref="E139"/>
    </sheetView>
  </sheetViews>
  <sheetFormatPr defaultColWidth="9.140625" defaultRowHeight="15"/>
  <cols>
    <col min="1" max="1" width="3.28125" style="0" customWidth="1"/>
    <col min="2" max="2" width="11.140625" style="206" customWidth="1"/>
    <col min="3" max="3" width="27.57421875" style="347" customWidth="1"/>
    <col min="4" max="4" width="32.7109375" style="347" customWidth="1"/>
    <col min="5" max="5" width="19.421875" style="233" customWidth="1"/>
    <col min="6" max="6" width="16.7109375" style="226" customWidth="1"/>
    <col min="7" max="7" width="15.00390625" style="206" customWidth="1"/>
    <col min="8" max="8" width="82.421875" style="206" customWidth="1"/>
    <col min="9" max="9" width="9.140625" style="206" customWidth="1"/>
  </cols>
  <sheetData>
    <row r="1" ht="15.75" thickBot="1"/>
    <row r="2" spans="2:9" ht="15.75" thickBot="1">
      <c r="B2" s="207"/>
      <c r="C2" s="348"/>
      <c r="D2" s="348"/>
      <c r="E2" s="208"/>
      <c r="F2" s="340"/>
      <c r="G2" s="208"/>
      <c r="H2" s="208"/>
      <c r="I2" s="209"/>
    </row>
    <row r="3" spans="2:9" ht="21" thickBot="1">
      <c r="B3" s="210"/>
      <c r="C3" s="413" t="s">
        <v>221</v>
      </c>
      <c r="D3" s="414"/>
      <c r="E3" s="414"/>
      <c r="F3" s="415"/>
      <c r="G3" s="211"/>
      <c r="H3" s="211"/>
      <c r="I3" s="212"/>
    </row>
    <row r="4" spans="2:9" ht="15">
      <c r="B4" s="416"/>
      <c r="C4" s="417"/>
      <c r="D4" s="417"/>
      <c r="E4" s="417"/>
      <c r="F4" s="417"/>
      <c r="G4" s="291"/>
      <c r="H4" s="291"/>
      <c r="I4" s="212"/>
    </row>
    <row r="5" spans="2:9" ht="16.5" thickBot="1">
      <c r="B5" s="213"/>
      <c r="C5" s="423" t="s">
        <v>521</v>
      </c>
      <c r="D5" s="423"/>
      <c r="E5" s="423"/>
      <c r="F5" s="423"/>
      <c r="G5" s="423"/>
      <c r="H5" s="423"/>
      <c r="I5" s="212"/>
    </row>
    <row r="6" spans="2:9" ht="15.75" thickBot="1">
      <c r="B6" s="213"/>
      <c r="C6" s="424" t="s">
        <v>522</v>
      </c>
      <c r="D6" s="424"/>
      <c r="E6" s="424"/>
      <c r="F6" s="425"/>
      <c r="G6" s="290" t="s">
        <v>574</v>
      </c>
      <c r="H6" s="211"/>
      <c r="I6" s="212"/>
    </row>
    <row r="7" spans="2:9" ht="15">
      <c r="B7" s="213"/>
      <c r="C7" s="418" t="s">
        <v>236</v>
      </c>
      <c r="D7" s="418"/>
      <c r="E7" s="211"/>
      <c r="F7" s="211"/>
      <c r="G7" s="211"/>
      <c r="H7" s="211"/>
      <c r="I7" s="212"/>
    </row>
    <row r="8" spans="2:9" ht="15.75" customHeight="1" thickBot="1">
      <c r="B8" s="213"/>
      <c r="C8" s="419" t="s">
        <v>237</v>
      </c>
      <c r="D8" s="419"/>
      <c r="E8" s="419"/>
      <c r="F8" s="419"/>
      <c r="G8" s="292"/>
      <c r="H8" s="292"/>
      <c r="I8" s="212"/>
    </row>
    <row r="9" spans="2:9" ht="15.75" customHeight="1">
      <c r="B9" s="213"/>
      <c r="C9" s="349"/>
      <c r="D9" s="350" t="s">
        <v>240</v>
      </c>
      <c r="E9" s="214" t="s">
        <v>239</v>
      </c>
      <c r="F9" s="214" t="s">
        <v>238</v>
      </c>
      <c r="G9" s="214" t="s">
        <v>357</v>
      </c>
      <c r="H9" s="291"/>
      <c r="I9" s="212"/>
    </row>
    <row r="10" spans="2:9" ht="27.75" customHeight="1">
      <c r="B10" s="213"/>
      <c r="C10" s="349"/>
      <c r="D10" s="420" t="s">
        <v>365</v>
      </c>
      <c r="E10" s="421"/>
      <c r="F10" s="421"/>
      <c r="G10" s="422"/>
      <c r="H10" s="291"/>
      <c r="I10" s="212"/>
    </row>
    <row r="11" spans="2:9" ht="25.5">
      <c r="B11" s="213"/>
      <c r="C11" s="349"/>
      <c r="D11" s="351" t="s">
        <v>353</v>
      </c>
      <c r="E11" s="236"/>
      <c r="F11" s="300">
        <v>41239</v>
      </c>
      <c r="G11" s="301">
        <v>185934.27</v>
      </c>
      <c r="H11" s="291"/>
      <c r="I11" s="212"/>
    </row>
    <row r="12" spans="2:9" ht="25.5">
      <c r="B12" s="213"/>
      <c r="C12" s="349"/>
      <c r="D12" s="351" t="s">
        <v>353</v>
      </c>
      <c r="E12" s="236"/>
      <c r="F12" s="300">
        <v>41397</v>
      </c>
      <c r="G12" s="301">
        <v>2785.65</v>
      </c>
      <c r="H12" s="291"/>
      <c r="I12" s="212"/>
    </row>
    <row r="13" spans="2:9" ht="25.5">
      <c r="B13" s="213"/>
      <c r="C13" s="349"/>
      <c r="D13" s="351" t="s">
        <v>353</v>
      </c>
      <c r="E13" s="236"/>
      <c r="F13" s="300">
        <v>41397</v>
      </c>
      <c r="G13" s="301">
        <v>2785.65</v>
      </c>
      <c r="H13" s="291"/>
      <c r="I13" s="212"/>
    </row>
    <row r="14" spans="2:9" ht="25.5">
      <c r="B14" s="213"/>
      <c r="C14" s="349"/>
      <c r="D14" s="351" t="s">
        <v>353</v>
      </c>
      <c r="E14" s="236"/>
      <c r="F14" s="300">
        <v>41397</v>
      </c>
      <c r="G14" s="301">
        <v>2785.65</v>
      </c>
      <c r="H14" s="291"/>
      <c r="I14" s="212"/>
    </row>
    <row r="15" spans="2:9" ht="25.5">
      <c r="B15" s="213"/>
      <c r="C15" s="349"/>
      <c r="D15" s="351" t="s">
        <v>353</v>
      </c>
      <c r="E15" s="237"/>
      <c r="F15" s="300">
        <v>41156</v>
      </c>
      <c r="G15" s="302">
        <v>12000</v>
      </c>
      <c r="H15" s="291"/>
      <c r="I15" s="212"/>
    </row>
    <row r="16" spans="2:9" ht="25.5">
      <c r="B16" s="213"/>
      <c r="C16" s="349"/>
      <c r="D16" s="351" t="s">
        <v>353</v>
      </c>
      <c r="E16" s="237"/>
      <c r="F16" s="300">
        <v>41437</v>
      </c>
      <c r="G16" s="302">
        <v>5532.76</v>
      </c>
      <c r="H16" s="291"/>
      <c r="I16" s="212"/>
    </row>
    <row r="17" spans="2:9" ht="31.5" customHeight="1">
      <c r="B17" s="213"/>
      <c r="C17" s="349"/>
      <c r="D17" s="351" t="s">
        <v>353</v>
      </c>
      <c r="E17" s="237"/>
      <c r="F17" s="300">
        <v>41397</v>
      </c>
      <c r="G17" s="302">
        <v>1857.1</v>
      </c>
      <c r="H17" s="291"/>
      <c r="I17" s="212"/>
    </row>
    <row r="18" spans="2:9" ht="25.5">
      <c r="B18" s="213"/>
      <c r="C18" s="349"/>
      <c r="D18" s="351" t="s">
        <v>353</v>
      </c>
      <c r="E18" s="237"/>
      <c r="F18" s="300">
        <v>41397</v>
      </c>
      <c r="G18" s="302">
        <v>1857.1</v>
      </c>
      <c r="H18" s="291"/>
      <c r="I18" s="212"/>
    </row>
    <row r="19" spans="2:9" ht="25.5">
      <c r="B19" s="213"/>
      <c r="C19" s="349"/>
      <c r="D19" s="351" t="s">
        <v>353</v>
      </c>
      <c r="E19" s="237"/>
      <c r="F19" s="300">
        <v>41397</v>
      </c>
      <c r="G19" s="302">
        <v>1857.1</v>
      </c>
      <c r="H19" s="291"/>
      <c r="I19" s="212"/>
    </row>
    <row r="20" spans="2:9" ht="32.25" customHeight="1">
      <c r="B20" s="213"/>
      <c r="C20" s="349"/>
      <c r="D20" s="407" t="s">
        <v>528</v>
      </c>
      <c r="E20" s="327"/>
      <c r="F20" s="271">
        <v>41344</v>
      </c>
      <c r="G20" s="253">
        <f>287108.24/24.723</f>
        <v>11613.001658374793</v>
      </c>
      <c r="H20" s="291"/>
      <c r="I20" s="212"/>
    </row>
    <row r="21" spans="2:9" ht="15">
      <c r="B21" s="213"/>
      <c r="C21" s="349"/>
      <c r="D21" s="408"/>
      <c r="E21" s="327"/>
      <c r="F21" s="271">
        <v>41344</v>
      </c>
      <c r="G21" s="253">
        <f>392465.5/24.723</f>
        <v>15874.509565991182</v>
      </c>
      <c r="H21" s="291"/>
      <c r="I21" s="212"/>
    </row>
    <row r="22" spans="2:9" ht="36" customHeight="1">
      <c r="B22" s="213"/>
      <c r="C22" s="349"/>
      <c r="D22" s="409"/>
      <c r="E22" s="327"/>
      <c r="F22" s="271">
        <v>41344</v>
      </c>
      <c r="G22" s="253">
        <f>153410/24.723</f>
        <v>6205.153096307083</v>
      </c>
      <c r="H22" s="291"/>
      <c r="I22" s="212"/>
    </row>
    <row r="23" spans="2:9" ht="29.25" customHeight="1">
      <c r="B23" s="213"/>
      <c r="C23" s="349"/>
      <c r="D23" s="410" t="s">
        <v>529</v>
      </c>
      <c r="E23" s="327"/>
      <c r="F23" s="271">
        <v>41346</v>
      </c>
      <c r="G23" s="253">
        <f>48373.9/24.723</f>
        <v>1956.6355215790966</v>
      </c>
      <c r="H23" s="291"/>
      <c r="I23" s="212"/>
    </row>
    <row r="24" spans="2:9" ht="31.5" customHeight="1">
      <c r="B24" s="213"/>
      <c r="C24" s="349"/>
      <c r="D24" s="411"/>
      <c r="E24" s="327"/>
      <c r="F24" s="271">
        <v>41346</v>
      </c>
      <c r="G24" s="253">
        <f>204750/24.723</f>
        <v>8281.761922096834</v>
      </c>
      <c r="H24" s="291"/>
      <c r="I24" s="212"/>
    </row>
    <row r="25" spans="2:9" ht="33" customHeight="1">
      <c r="B25" s="213"/>
      <c r="C25" s="349"/>
      <c r="D25" s="411"/>
      <c r="E25" s="327"/>
      <c r="F25" s="271">
        <v>41346</v>
      </c>
      <c r="G25" s="253">
        <f>102844.83/24.723</f>
        <v>4159.884722727825</v>
      </c>
      <c r="H25" s="291"/>
      <c r="I25" s="212"/>
    </row>
    <row r="26" spans="2:9" ht="18" customHeight="1">
      <c r="B26" s="213"/>
      <c r="C26" s="349"/>
      <c r="D26" s="411"/>
      <c r="E26" s="327"/>
      <c r="F26" s="271">
        <v>41346</v>
      </c>
      <c r="G26" s="253">
        <f>99960/24.723</f>
        <v>4043.1986409416336</v>
      </c>
      <c r="H26" s="291"/>
      <c r="I26" s="212"/>
    </row>
    <row r="27" spans="2:9" ht="30.75" customHeight="1">
      <c r="B27" s="213"/>
      <c r="C27" s="349"/>
      <c r="D27" s="411"/>
      <c r="E27" s="327"/>
      <c r="F27" s="271">
        <v>41346</v>
      </c>
      <c r="G27" s="253">
        <f>45864/24.723</f>
        <v>1855.1146705496906</v>
      </c>
      <c r="H27" s="291"/>
      <c r="I27" s="212"/>
    </row>
    <row r="28" spans="2:9" ht="18" customHeight="1">
      <c r="B28" s="213"/>
      <c r="C28" s="349"/>
      <c r="D28" s="412"/>
      <c r="E28" s="327"/>
      <c r="F28" s="271">
        <v>41346</v>
      </c>
      <c r="G28" s="253">
        <f>30000/24.723</f>
        <v>1213.4449702705983</v>
      </c>
      <c r="H28" s="291"/>
      <c r="I28" s="212"/>
    </row>
    <row r="29" spans="2:9" ht="29.25" customHeight="1">
      <c r="B29" s="213"/>
      <c r="C29" s="349"/>
      <c r="D29" s="407" t="s">
        <v>530</v>
      </c>
      <c r="E29" s="327"/>
      <c r="F29" s="271">
        <v>41346</v>
      </c>
      <c r="G29" s="253">
        <f>68795.6/24.723</f>
        <v>2782.6558265582657</v>
      </c>
      <c r="H29" s="291"/>
      <c r="I29" s="212"/>
    </row>
    <row r="30" spans="2:9" ht="15">
      <c r="B30" s="213"/>
      <c r="C30" s="349"/>
      <c r="D30" s="408"/>
      <c r="E30" s="327"/>
      <c r="F30" s="271">
        <v>41346</v>
      </c>
      <c r="G30" s="253">
        <f>523661.25/24.723</f>
        <v>21181.136997937145</v>
      </c>
      <c r="H30" s="291"/>
      <c r="I30" s="212"/>
    </row>
    <row r="31" spans="2:9" ht="36.75" customHeight="1">
      <c r="B31" s="213"/>
      <c r="C31" s="349"/>
      <c r="D31" s="408"/>
      <c r="E31" s="327"/>
      <c r="F31" s="271">
        <v>41346</v>
      </c>
      <c r="G31" s="253">
        <f>26614.86/24.723</f>
        <v>1076.5222667152045</v>
      </c>
      <c r="H31" s="291"/>
      <c r="I31" s="212"/>
    </row>
    <row r="32" spans="2:9" ht="15.75" customHeight="1">
      <c r="B32" s="213"/>
      <c r="C32" s="349"/>
      <c r="D32" s="408"/>
      <c r="E32" s="327"/>
      <c r="F32" s="271">
        <v>41346</v>
      </c>
      <c r="G32" s="253">
        <f>29988/24.723</f>
        <v>1212.9595922824901</v>
      </c>
      <c r="H32" s="291"/>
      <c r="I32" s="212"/>
    </row>
    <row r="33" spans="2:9" ht="15">
      <c r="B33" s="213"/>
      <c r="C33" s="349"/>
      <c r="D33" s="409"/>
      <c r="E33" s="327"/>
      <c r="F33" s="271">
        <v>41346</v>
      </c>
      <c r="G33" s="253">
        <f>7200/24.723</f>
        <v>291.2267928649436</v>
      </c>
      <c r="H33" s="291"/>
      <c r="I33" s="212"/>
    </row>
    <row r="34" spans="2:9" ht="47.25" customHeight="1">
      <c r="B34" s="213"/>
      <c r="C34" s="349"/>
      <c r="D34" s="407" t="s">
        <v>531</v>
      </c>
      <c r="E34" s="327"/>
      <c r="F34" s="271">
        <v>41346</v>
      </c>
      <c r="G34" s="253">
        <f>40500/24.723</f>
        <v>1638.1507098653076</v>
      </c>
      <c r="H34" s="291"/>
      <c r="I34" s="212"/>
    </row>
    <row r="35" spans="2:9" ht="41.25" customHeight="1">
      <c r="B35" s="213"/>
      <c r="C35" s="349"/>
      <c r="D35" s="408"/>
      <c r="E35" s="327"/>
      <c r="F35" s="271">
        <v>41346</v>
      </c>
      <c r="G35" s="253">
        <f>70863.35/24.723</f>
        <v>2866.292521134167</v>
      </c>
      <c r="H35" s="291"/>
      <c r="I35" s="212"/>
    </row>
    <row r="36" spans="2:9" ht="14.25" customHeight="1">
      <c r="B36" s="213"/>
      <c r="C36" s="349"/>
      <c r="D36" s="408"/>
      <c r="E36" s="327"/>
      <c r="F36" s="271">
        <v>41346</v>
      </c>
      <c r="G36" s="253">
        <f>154267.25/24.723</f>
        <v>6239.827286332565</v>
      </c>
      <c r="H36" s="291"/>
      <c r="I36" s="212"/>
    </row>
    <row r="37" spans="2:9" ht="14.25" customHeight="1">
      <c r="B37" s="213"/>
      <c r="C37" s="349"/>
      <c r="D37" s="408"/>
      <c r="E37" s="327"/>
      <c r="F37" s="271">
        <v>41346</v>
      </c>
      <c r="G37" s="253">
        <f>319410/24.723</f>
        <v>12919.54859847106</v>
      </c>
      <c r="H37" s="291"/>
      <c r="I37" s="212"/>
    </row>
    <row r="38" spans="2:9" ht="14.25" customHeight="1">
      <c r="B38" s="213"/>
      <c r="C38" s="349"/>
      <c r="D38" s="408"/>
      <c r="E38" s="327"/>
      <c r="F38" s="271">
        <v>41346</v>
      </c>
      <c r="G38" s="253">
        <f>112455/24.723</f>
        <v>4548.5984710593375</v>
      </c>
      <c r="H38" s="291"/>
      <c r="I38" s="212"/>
    </row>
    <row r="39" spans="2:9" ht="30.75" customHeight="1">
      <c r="B39" s="213"/>
      <c r="C39" s="349"/>
      <c r="D39" s="409"/>
      <c r="E39" s="327"/>
      <c r="F39" s="271">
        <v>41346</v>
      </c>
      <c r="G39" s="253">
        <f>72618/24.723</f>
        <v>2937.2648950370103</v>
      </c>
      <c r="H39" s="291"/>
      <c r="I39" s="212"/>
    </row>
    <row r="40" spans="2:9" ht="28.5" customHeight="1">
      <c r="B40" s="213"/>
      <c r="C40" s="349"/>
      <c r="D40" s="407" t="s">
        <v>532</v>
      </c>
      <c r="E40" s="327"/>
      <c r="F40" s="271">
        <v>41344</v>
      </c>
      <c r="G40" s="253">
        <f>114438.73/24.723</f>
        <v>4628.836710755168</v>
      </c>
      <c r="H40" s="291"/>
      <c r="I40" s="212"/>
    </row>
    <row r="41" spans="2:9" ht="14.25" customHeight="1">
      <c r="B41" s="213"/>
      <c r="C41" s="349"/>
      <c r="D41" s="408"/>
      <c r="E41" s="327"/>
      <c r="F41" s="271">
        <v>41344</v>
      </c>
      <c r="G41" s="253">
        <f>212537.25/24.723</f>
        <v>8596.741900254823</v>
      </c>
      <c r="H41" s="291"/>
      <c r="I41" s="212"/>
    </row>
    <row r="42" spans="2:9" ht="46.5" customHeight="1">
      <c r="B42" s="213"/>
      <c r="C42" s="349"/>
      <c r="D42" s="408"/>
      <c r="E42" s="327"/>
      <c r="F42" s="271">
        <v>41344</v>
      </c>
      <c r="G42" s="253">
        <f>164420/24.723</f>
        <v>6650.487400396392</v>
      </c>
      <c r="H42" s="291"/>
      <c r="I42" s="212"/>
    </row>
    <row r="43" spans="2:9" ht="32.25" customHeight="1">
      <c r="B43" s="213"/>
      <c r="C43" s="349"/>
      <c r="D43" s="409"/>
      <c r="E43" s="327"/>
      <c r="F43" s="271">
        <v>41344</v>
      </c>
      <c r="G43" s="253">
        <f>35280/24.723</f>
        <v>1427.0112850382236</v>
      </c>
      <c r="H43" s="291"/>
      <c r="I43" s="212"/>
    </row>
    <row r="44" spans="2:9" ht="28.5" customHeight="1">
      <c r="B44" s="213"/>
      <c r="C44" s="349"/>
      <c r="D44" s="407" t="s">
        <v>533</v>
      </c>
      <c r="E44" s="327"/>
      <c r="F44" s="271">
        <v>41344</v>
      </c>
      <c r="G44" s="253">
        <f>78701.02/24.723</f>
        <v>3183.3118958055256</v>
      </c>
      <c r="H44" s="291"/>
      <c r="I44" s="212"/>
    </row>
    <row r="45" spans="2:9" ht="14.25" customHeight="1">
      <c r="B45" s="213"/>
      <c r="C45" s="349"/>
      <c r="D45" s="408"/>
      <c r="E45" s="327"/>
      <c r="F45" s="271">
        <v>41344</v>
      </c>
      <c r="G45" s="253">
        <f>181264.5/24.723</f>
        <v>7331.816527120495</v>
      </c>
      <c r="H45" s="291"/>
      <c r="I45" s="212"/>
    </row>
    <row r="46" spans="2:9" ht="48" customHeight="1">
      <c r="B46" s="213"/>
      <c r="C46" s="349"/>
      <c r="D46" s="408"/>
      <c r="E46" s="327"/>
      <c r="F46" s="271">
        <v>41344</v>
      </c>
      <c r="G46" s="253">
        <f>129850/24.723</f>
        <v>5252.194312987906</v>
      </c>
      <c r="H46" s="291"/>
      <c r="I46" s="212"/>
    </row>
    <row r="47" spans="2:9" ht="34.5" customHeight="1">
      <c r="B47" s="213"/>
      <c r="C47" s="349"/>
      <c r="D47" s="409"/>
      <c r="E47" s="327"/>
      <c r="F47" s="271">
        <v>41344</v>
      </c>
      <c r="G47" s="253">
        <f>38808/24.723</f>
        <v>1569.7124135420459</v>
      </c>
      <c r="H47" s="291"/>
      <c r="I47" s="212"/>
    </row>
    <row r="48" spans="2:9" ht="94.5" customHeight="1">
      <c r="B48" s="213"/>
      <c r="C48" s="349"/>
      <c r="D48" s="330" t="s">
        <v>536</v>
      </c>
      <c r="E48" s="295"/>
      <c r="F48" s="271">
        <v>41193</v>
      </c>
      <c r="G48" s="253">
        <v>104907.67</v>
      </c>
      <c r="H48" s="291"/>
      <c r="I48" s="212"/>
    </row>
    <row r="49" spans="2:9" ht="30.75" customHeight="1">
      <c r="B49" s="213"/>
      <c r="C49" s="349"/>
      <c r="D49" s="428" t="s">
        <v>535</v>
      </c>
      <c r="E49" s="332"/>
      <c r="F49" s="271">
        <v>41197</v>
      </c>
      <c r="G49" s="253">
        <v>2390.74</v>
      </c>
      <c r="H49" s="291"/>
      <c r="I49" s="212"/>
    </row>
    <row r="50" spans="2:9" ht="87" customHeight="1">
      <c r="B50" s="213"/>
      <c r="C50" s="349"/>
      <c r="D50" s="429"/>
      <c r="E50" s="294"/>
      <c r="F50" s="271">
        <v>41197</v>
      </c>
      <c r="G50" s="253">
        <v>24253.96</v>
      </c>
      <c r="H50" s="291"/>
      <c r="I50" s="212"/>
    </row>
    <row r="51" spans="2:9" ht="78" customHeight="1">
      <c r="B51" s="213"/>
      <c r="C51" s="349"/>
      <c r="D51" s="333" t="s">
        <v>534</v>
      </c>
      <c r="E51" s="293"/>
      <c r="F51" s="271">
        <v>41197</v>
      </c>
      <c r="G51" s="253">
        <v>63000.07</v>
      </c>
      <c r="H51" s="291"/>
      <c r="I51" s="212"/>
    </row>
    <row r="52" spans="2:9" ht="30" customHeight="1">
      <c r="B52" s="213"/>
      <c r="C52" s="349"/>
      <c r="D52" s="426" t="s">
        <v>537</v>
      </c>
      <c r="E52" s="293"/>
      <c r="F52" s="271">
        <v>41212</v>
      </c>
      <c r="G52" s="253">
        <v>49245.61</v>
      </c>
      <c r="H52" s="291"/>
      <c r="I52" s="212"/>
    </row>
    <row r="53" spans="2:9" ht="47.25" customHeight="1">
      <c r="B53" s="213"/>
      <c r="C53" s="349"/>
      <c r="D53" s="427"/>
      <c r="E53" s="293"/>
      <c r="F53" s="271">
        <v>41212</v>
      </c>
      <c r="G53" s="252">
        <v>23067.98</v>
      </c>
      <c r="H53" s="291"/>
      <c r="I53" s="212"/>
    </row>
    <row r="54" spans="2:9" ht="42.75" customHeight="1">
      <c r="B54" s="213"/>
      <c r="C54" s="349"/>
      <c r="D54" s="333" t="s">
        <v>538</v>
      </c>
      <c r="E54" s="333"/>
      <c r="F54" s="271">
        <v>41221</v>
      </c>
      <c r="G54" s="252">
        <v>6296.16</v>
      </c>
      <c r="H54" s="291"/>
      <c r="I54" s="212"/>
    </row>
    <row r="55" spans="2:9" ht="38.25">
      <c r="B55" s="213"/>
      <c r="C55" s="349"/>
      <c r="D55" s="328" t="s">
        <v>539</v>
      </c>
      <c r="E55" s="332"/>
      <c r="F55" s="271">
        <v>41156</v>
      </c>
      <c r="G55" s="252">
        <v>19086.85</v>
      </c>
      <c r="H55" s="291"/>
      <c r="I55" s="212"/>
    </row>
    <row r="56" spans="2:9" ht="64.5" customHeight="1">
      <c r="B56" s="213"/>
      <c r="C56" s="349"/>
      <c r="D56" s="328" t="s">
        <v>540</v>
      </c>
      <c r="E56" s="329"/>
      <c r="F56" s="271">
        <v>41180</v>
      </c>
      <c r="G56" s="252">
        <v>25515.74</v>
      </c>
      <c r="H56" s="291"/>
      <c r="I56" s="212"/>
    </row>
    <row r="57" spans="2:9" ht="51" customHeight="1">
      <c r="B57" s="213"/>
      <c r="C57" s="349"/>
      <c r="D57" s="330" t="s">
        <v>541</v>
      </c>
      <c r="E57" s="294"/>
      <c r="F57" s="271">
        <v>41068</v>
      </c>
      <c r="G57" s="252">
        <v>3200</v>
      </c>
      <c r="H57" s="291"/>
      <c r="I57" s="212"/>
    </row>
    <row r="58" spans="2:9" ht="51">
      <c r="B58" s="213"/>
      <c r="C58" s="349"/>
      <c r="D58" s="352" t="s">
        <v>542</v>
      </c>
      <c r="E58" s="335"/>
      <c r="F58" s="271">
        <v>41241</v>
      </c>
      <c r="G58" s="252">
        <v>5745.11</v>
      </c>
      <c r="H58" s="291"/>
      <c r="I58" s="212"/>
    </row>
    <row r="59" spans="2:9" ht="25.5">
      <c r="B59" s="213"/>
      <c r="C59" s="349"/>
      <c r="D59" s="352" t="s">
        <v>543</v>
      </c>
      <c r="E59" s="336"/>
      <c r="F59" s="271">
        <v>41206</v>
      </c>
      <c r="G59" s="252">
        <v>13752.39</v>
      </c>
      <c r="H59" s="291"/>
      <c r="I59" s="212"/>
    </row>
    <row r="60" spans="2:9" ht="42.75" customHeight="1">
      <c r="B60" s="213"/>
      <c r="C60" s="349"/>
      <c r="D60" s="352" t="s">
        <v>543</v>
      </c>
      <c r="E60" s="336"/>
      <c r="F60" s="271">
        <v>41206</v>
      </c>
      <c r="G60" s="252">
        <v>17719.26</v>
      </c>
      <c r="H60" s="291"/>
      <c r="I60" s="212"/>
    </row>
    <row r="61" spans="2:9" ht="44.25" customHeight="1">
      <c r="B61" s="213"/>
      <c r="C61" s="349"/>
      <c r="D61" s="352" t="s">
        <v>543</v>
      </c>
      <c r="E61" s="336"/>
      <c r="F61" s="271">
        <v>41206</v>
      </c>
      <c r="G61" s="252">
        <v>9165.43</v>
      </c>
      <c r="H61" s="291"/>
      <c r="I61" s="212"/>
    </row>
    <row r="62" spans="2:9" ht="39" customHeight="1">
      <c r="B62" s="213"/>
      <c r="C62" s="349"/>
      <c r="D62" s="352" t="s">
        <v>543</v>
      </c>
      <c r="E62" s="336"/>
      <c r="F62" s="271">
        <v>41206</v>
      </c>
      <c r="G62" s="252">
        <v>19337.3</v>
      </c>
      <c r="H62" s="291"/>
      <c r="I62" s="212"/>
    </row>
    <row r="63" spans="2:9" ht="44.25" customHeight="1">
      <c r="B63" s="213"/>
      <c r="C63" s="349"/>
      <c r="D63" s="352" t="s">
        <v>543</v>
      </c>
      <c r="E63" s="336"/>
      <c r="F63" s="271">
        <v>41206</v>
      </c>
      <c r="G63" s="252">
        <v>16629.14</v>
      </c>
      <c r="H63" s="291"/>
      <c r="I63" s="212"/>
    </row>
    <row r="64" spans="2:9" ht="38.25" customHeight="1">
      <c r="B64" s="213"/>
      <c r="C64" s="349"/>
      <c r="D64" s="352" t="s">
        <v>543</v>
      </c>
      <c r="E64" s="336"/>
      <c r="F64" s="271">
        <v>41234</v>
      </c>
      <c r="G64" s="252">
        <v>13098.32</v>
      </c>
      <c r="H64" s="291"/>
      <c r="I64" s="212"/>
    </row>
    <row r="65" spans="2:9" ht="15.75" customHeight="1">
      <c r="B65" s="213"/>
      <c r="C65" s="349"/>
      <c r="D65" s="420" t="s">
        <v>366</v>
      </c>
      <c r="E65" s="421"/>
      <c r="F65" s="421"/>
      <c r="G65" s="422"/>
      <c r="H65" s="291"/>
      <c r="I65" s="212"/>
    </row>
    <row r="66" spans="2:9" ht="25.5">
      <c r="B66" s="213"/>
      <c r="C66" s="349"/>
      <c r="D66" s="353" t="s">
        <v>353</v>
      </c>
      <c r="E66" s="237"/>
      <c r="F66" s="271">
        <v>41470</v>
      </c>
      <c r="G66" s="253">
        <f>700*12</f>
        <v>8400</v>
      </c>
      <c r="H66" s="291"/>
      <c r="I66" s="212"/>
    </row>
    <row r="67" spans="2:9" ht="25.5">
      <c r="B67" s="213"/>
      <c r="C67" s="349"/>
      <c r="D67" s="353" t="s">
        <v>353</v>
      </c>
      <c r="E67" s="237"/>
      <c r="F67" s="271">
        <v>41470</v>
      </c>
      <c r="G67" s="253">
        <f aca="true" t="shared" si="0" ref="G67:G74">700*12</f>
        <v>8400</v>
      </c>
      <c r="H67" s="291"/>
      <c r="I67" s="212"/>
    </row>
    <row r="68" spans="2:9" ht="15" customHeight="1">
      <c r="B68" s="213"/>
      <c r="C68" s="349"/>
      <c r="D68" s="353" t="s">
        <v>353</v>
      </c>
      <c r="E68" s="237"/>
      <c r="F68" s="271">
        <v>41470</v>
      </c>
      <c r="G68" s="253">
        <f t="shared" si="0"/>
        <v>8400</v>
      </c>
      <c r="H68" s="291"/>
      <c r="I68" s="212"/>
    </row>
    <row r="69" spans="2:9" ht="25.5">
      <c r="B69" s="213"/>
      <c r="C69" s="349"/>
      <c r="D69" s="353" t="s">
        <v>353</v>
      </c>
      <c r="E69" s="237"/>
      <c r="F69" s="271">
        <v>41470</v>
      </c>
      <c r="G69" s="253">
        <f t="shared" si="0"/>
        <v>8400</v>
      </c>
      <c r="H69" s="291"/>
      <c r="I69" s="212"/>
    </row>
    <row r="70" spans="2:9" ht="25.5">
      <c r="B70" s="213"/>
      <c r="C70" s="349"/>
      <c r="D70" s="353" t="s">
        <v>353</v>
      </c>
      <c r="E70" s="304"/>
      <c r="F70" s="271">
        <v>41470</v>
      </c>
      <c r="G70" s="253">
        <f t="shared" si="0"/>
        <v>8400</v>
      </c>
      <c r="H70" s="291"/>
      <c r="I70" s="212"/>
    </row>
    <row r="71" spans="2:9" ht="25.5">
      <c r="B71" s="213"/>
      <c r="C71" s="349"/>
      <c r="D71" s="353" t="s">
        <v>353</v>
      </c>
      <c r="E71" s="237"/>
      <c r="F71" s="271">
        <v>41470</v>
      </c>
      <c r="G71" s="253">
        <f t="shared" si="0"/>
        <v>8400</v>
      </c>
      <c r="H71" s="291"/>
      <c r="I71" s="212"/>
    </row>
    <row r="72" spans="2:9" ht="16.5" customHeight="1">
      <c r="B72" s="213"/>
      <c r="C72" s="349"/>
      <c r="D72" s="353" t="s">
        <v>353</v>
      </c>
      <c r="E72" s="237"/>
      <c r="F72" s="271">
        <v>41470</v>
      </c>
      <c r="G72" s="253">
        <f t="shared" si="0"/>
        <v>8400</v>
      </c>
      <c r="H72" s="291"/>
      <c r="I72" s="212"/>
    </row>
    <row r="73" spans="2:9" ht="25.5">
      <c r="B73" s="213"/>
      <c r="C73" s="349"/>
      <c r="D73" s="353" t="s">
        <v>353</v>
      </c>
      <c r="E73" s="237"/>
      <c r="F73" s="271">
        <v>41470</v>
      </c>
      <c r="G73" s="253">
        <f t="shared" si="0"/>
        <v>8400</v>
      </c>
      <c r="H73" s="291"/>
      <c r="I73" s="212"/>
    </row>
    <row r="74" spans="2:9" ht="25.5">
      <c r="B74" s="213"/>
      <c r="C74" s="349"/>
      <c r="D74" s="353" t="s">
        <v>353</v>
      </c>
      <c r="E74" s="237"/>
      <c r="F74" s="271">
        <v>41470</v>
      </c>
      <c r="G74" s="253">
        <f t="shared" si="0"/>
        <v>8400</v>
      </c>
      <c r="H74" s="291"/>
      <c r="I74" s="212"/>
    </row>
    <row r="75" spans="2:9" ht="18" customHeight="1">
      <c r="B75" s="213"/>
      <c r="C75" s="349"/>
      <c r="D75" s="353" t="s">
        <v>353</v>
      </c>
      <c r="E75" s="234"/>
      <c r="F75" s="271">
        <v>41306</v>
      </c>
      <c r="G75" s="253">
        <v>9600</v>
      </c>
      <c r="H75" s="291"/>
      <c r="I75" s="212"/>
    </row>
    <row r="76" spans="2:9" ht="25.5">
      <c r="B76" s="213"/>
      <c r="C76" s="349"/>
      <c r="D76" s="353" t="s">
        <v>353</v>
      </c>
      <c r="E76" s="234"/>
      <c r="F76" s="271">
        <v>41426</v>
      </c>
      <c r="G76" s="253">
        <v>27000</v>
      </c>
      <c r="H76" s="291"/>
      <c r="I76" s="212"/>
    </row>
    <row r="77" spans="2:9" ht="15">
      <c r="B77" s="213"/>
      <c r="C77" s="349"/>
      <c r="D77" s="410" t="s">
        <v>544</v>
      </c>
      <c r="E77" s="237"/>
      <c r="F77" s="271">
        <v>41477</v>
      </c>
      <c r="G77" s="253">
        <v>3363.23</v>
      </c>
      <c r="H77" s="291"/>
      <c r="I77" s="212"/>
    </row>
    <row r="78" spans="2:9" ht="62.25" customHeight="1">
      <c r="B78" s="213"/>
      <c r="C78" s="349"/>
      <c r="D78" s="411"/>
      <c r="E78" s="237"/>
      <c r="F78" s="271">
        <v>41477</v>
      </c>
      <c r="G78" s="253">
        <v>9176.7</v>
      </c>
      <c r="H78" s="291"/>
      <c r="I78" s="212"/>
    </row>
    <row r="79" spans="2:9" ht="30.75" customHeight="1">
      <c r="B79" s="213"/>
      <c r="C79" s="349"/>
      <c r="D79" s="411"/>
      <c r="E79" s="237"/>
      <c r="F79" s="271">
        <v>41477</v>
      </c>
      <c r="G79" s="253">
        <v>529.96</v>
      </c>
      <c r="H79" s="291"/>
      <c r="I79" s="212"/>
    </row>
    <row r="80" spans="2:9" ht="31.5" customHeight="1">
      <c r="B80" s="213"/>
      <c r="C80" s="349"/>
      <c r="D80" s="411"/>
      <c r="E80" s="237"/>
      <c r="F80" s="271">
        <v>41477</v>
      </c>
      <c r="G80" s="253">
        <v>1834.49</v>
      </c>
      <c r="H80" s="291"/>
      <c r="I80" s="212"/>
    </row>
    <row r="81" spans="2:9" ht="29.25" customHeight="1">
      <c r="B81" s="213"/>
      <c r="C81" s="349"/>
      <c r="D81" s="411"/>
      <c r="E81" s="237"/>
      <c r="F81" s="271">
        <v>41477</v>
      </c>
      <c r="G81" s="253">
        <v>2282.92</v>
      </c>
      <c r="H81" s="291"/>
      <c r="I81" s="212"/>
    </row>
    <row r="82" spans="2:9" ht="30" customHeight="1">
      <c r="B82" s="213"/>
      <c r="C82" s="349"/>
      <c r="D82" s="411"/>
      <c r="E82" s="237"/>
      <c r="F82" s="271">
        <v>41477</v>
      </c>
      <c r="G82" s="253">
        <v>12460.15</v>
      </c>
      <c r="H82" s="291"/>
      <c r="I82" s="212"/>
    </row>
    <row r="83" spans="2:9" ht="31.5" customHeight="1">
      <c r="B83" s="213"/>
      <c r="C83" s="349"/>
      <c r="D83" s="411"/>
      <c r="E83" s="237"/>
      <c r="F83" s="271">
        <v>41477</v>
      </c>
      <c r="G83" s="253">
        <v>7506.11</v>
      </c>
      <c r="H83" s="291"/>
      <c r="I83" s="212"/>
    </row>
    <row r="84" spans="2:9" ht="27.75" customHeight="1">
      <c r="B84" s="213"/>
      <c r="C84" s="349"/>
      <c r="D84" s="411"/>
      <c r="E84" s="237"/>
      <c r="F84" s="271">
        <v>41477</v>
      </c>
      <c r="G84" s="253">
        <v>3595.6</v>
      </c>
      <c r="H84" s="291"/>
      <c r="I84" s="212"/>
    </row>
    <row r="85" spans="2:9" ht="32.25" customHeight="1">
      <c r="B85" s="213"/>
      <c r="C85" s="349"/>
      <c r="D85" s="412"/>
      <c r="E85" s="237"/>
      <c r="F85" s="271">
        <v>41477</v>
      </c>
      <c r="G85" s="253">
        <v>850.69</v>
      </c>
      <c r="H85" s="291"/>
      <c r="I85" s="212"/>
    </row>
    <row r="86" spans="2:9" ht="33.75" customHeight="1">
      <c r="B86" s="213"/>
      <c r="C86" s="349"/>
      <c r="D86" s="407" t="s">
        <v>545</v>
      </c>
      <c r="E86" s="237"/>
      <c r="F86" s="271">
        <v>41404</v>
      </c>
      <c r="G86" s="253">
        <f>445500/24.723</f>
        <v>18019.657808518383</v>
      </c>
      <c r="H86" s="291"/>
      <c r="I86" s="212"/>
    </row>
    <row r="87" spans="2:9" ht="15">
      <c r="B87" s="213"/>
      <c r="C87" s="349"/>
      <c r="D87" s="408"/>
      <c r="E87" s="237"/>
      <c r="F87" s="271">
        <v>41404</v>
      </c>
      <c r="G87" s="253">
        <f>120000/24.723</f>
        <v>4853.779881082393</v>
      </c>
      <c r="H87" s="291"/>
      <c r="I87" s="212"/>
    </row>
    <row r="88" spans="2:9" ht="30" customHeight="1">
      <c r="B88" s="213"/>
      <c r="C88" s="349"/>
      <c r="D88" s="408"/>
      <c r="E88" s="237"/>
      <c r="F88" s="271">
        <v>41404</v>
      </c>
      <c r="G88" s="253">
        <f>300000/24.723</f>
        <v>12134.449702705982</v>
      </c>
      <c r="H88" s="291"/>
      <c r="I88" s="212"/>
    </row>
    <row r="89" spans="2:9" ht="15">
      <c r="B89" s="213"/>
      <c r="C89" s="349"/>
      <c r="D89" s="408"/>
      <c r="E89" s="237"/>
      <c r="F89" s="271">
        <v>41404</v>
      </c>
      <c r="G89" s="253">
        <f>150000/24.723</f>
        <v>6067.224851352991</v>
      </c>
      <c r="H89" s="291"/>
      <c r="I89" s="212"/>
    </row>
    <row r="90" spans="2:9" ht="15">
      <c r="B90" s="213"/>
      <c r="C90" s="349"/>
      <c r="D90" s="409"/>
      <c r="E90" s="237"/>
      <c r="F90" s="271">
        <v>41404</v>
      </c>
      <c r="G90" s="253">
        <f>85000/24.723</f>
        <v>3438.0940824333616</v>
      </c>
      <c r="H90" s="291"/>
      <c r="I90" s="212"/>
    </row>
    <row r="91" spans="2:9" ht="15">
      <c r="B91" s="213"/>
      <c r="C91" s="349"/>
      <c r="D91" s="407" t="s">
        <v>546</v>
      </c>
      <c r="E91" s="237"/>
      <c r="F91" s="271">
        <v>41404</v>
      </c>
      <c r="G91" s="253">
        <f>257100/24.723</f>
        <v>10399.223395219027</v>
      </c>
      <c r="H91" s="291"/>
      <c r="I91" s="212"/>
    </row>
    <row r="92" spans="2:9" ht="15">
      <c r="B92" s="213"/>
      <c r="C92" s="349"/>
      <c r="D92" s="408"/>
      <c r="E92" s="237"/>
      <c r="F92" s="271">
        <v>41404</v>
      </c>
      <c r="G92" s="253">
        <f>120000/24.723</f>
        <v>4853.779881082393</v>
      </c>
      <c r="H92" s="291"/>
      <c r="I92" s="212"/>
    </row>
    <row r="93" spans="2:9" ht="15">
      <c r="B93" s="213"/>
      <c r="C93" s="349"/>
      <c r="D93" s="408"/>
      <c r="E93" s="237"/>
      <c r="F93" s="271">
        <v>41404</v>
      </c>
      <c r="G93" s="253">
        <f>150000/24.723</f>
        <v>6067.224851352991</v>
      </c>
      <c r="H93" s="291"/>
      <c r="I93" s="212"/>
    </row>
    <row r="94" spans="2:9" ht="15">
      <c r="B94" s="213"/>
      <c r="C94" s="349"/>
      <c r="D94" s="408"/>
      <c r="E94" s="237"/>
      <c r="F94" s="271">
        <v>41404</v>
      </c>
      <c r="G94" s="253">
        <f>150000/24.723</f>
        <v>6067.224851352991</v>
      </c>
      <c r="H94" s="291"/>
      <c r="I94" s="212"/>
    </row>
    <row r="95" spans="2:9" ht="15">
      <c r="B95" s="213"/>
      <c r="C95" s="349"/>
      <c r="D95" s="409"/>
      <c r="E95" s="237"/>
      <c r="F95" s="271">
        <v>41404</v>
      </c>
      <c r="G95" s="253">
        <f>85000/24.723</f>
        <v>3438.0940824333616</v>
      </c>
      <c r="H95" s="291"/>
      <c r="I95" s="212"/>
    </row>
    <row r="96" spans="2:9" ht="51">
      <c r="B96" s="213"/>
      <c r="C96" s="349"/>
      <c r="D96" s="353" t="s">
        <v>547</v>
      </c>
      <c r="E96" s="237"/>
      <c r="F96" s="271">
        <v>41192</v>
      </c>
      <c r="G96" s="253">
        <v>124123.41</v>
      </c>
      <c r="H96" s="291"/>
      <c r="I96" s="212"/>
    </row>
    <row r="97" spans="2:9" ht="25.5">
      <c r="B97" s="213"/>
      <c r="C97" s="349"/>
      <c r="D97" s="353" t="s">
        <v>548</v>
      </c>
      <c r="E97" s="237"/>
      <c r="F97" s="271">
        <v>41128</v>
      </c>
      <c r="G97" s="253">
        <v>10405.61</v>
      </c>
      <c r="H97" s="291"/>
      <c r="I97" s="212"/>
    </row>
    <row r="98" spans="2:9" ht="25.5">
      <c r="B98" s="213"/>
      <c r="C98" s="349"/>
      <c r="D98" s="353" t="s">
        <v>548</v>
      </c>
      <c r="E98" s="237"/>
      <c r="F98" s="271">
        <v>41128</v>
      </c>
      <c r="G98" s="253">
        <v>9796.12</v>
      </c>
      <c r="H98" s="291"/>
      <c r="I98" s="212"/>
    </row>
    <row r="99" spans="2:9" ht="25.5">
      <c r="B99" s="213"/>
      <c r="C99" s="349"/>
      <c r="D99" s="353" t="s">
        <v>548</v>
      </c>
      <c r="E99" s="237"/>
      <c r="F99" s="271">
        <v>41128</v>
      </c>
      <c r="G99" s="253">
        <v>5523.47</v>
      </c>
      <c r="H99" s="291"/>
      <c r="I99" s="212"/>
    </row>
    <row r="100" spans="2:9" ht="25.5">
      <c r="B100" s="213"/>
      <c r="C100" s="349"/>
      <c r="D100" s="353" t="s">
        <v>548</v>
      </c>
      <c r="E100" s="237"/>
      <c r="F100" s="271">
        <v>41128</v>
      </c>
      <c r="G100" s="253">
        <v>2293.97</v>
      </c>
      <c r="H100" s="291"/>
      <c r="I100" s="212"/>
    </row>
    <row r="101" spans="2:9" ht="27" customHeight="1">
      <c r="B101" s="213"/>
      <c r="C101" s="349"/>
      <c r="D101" s="328" t="s">
        <v>549</v>
      </c>
      <c r="E101" s="293"/>
      <c r="F101" s="271">
        <v>41142</v>
      </c>
      <c r="G101" s="252">
        <v>21540.97</v>
      </c>
      <c r="H101" s="291"/>
      <c r="I101" s="212"/>
    </row>
    <row r="102" spans="2:9" ht="38.25">
      <c r="B102" s="213"/>
      <c r="C102" s="349"/>
      <c r="D102" s="328" t="s">
        <v>550</v>
      </c>
      <c r="E102" s="293"/>
      <c r="F102" s="271">
        <v>41137</v>
      </c>
      <c r="G102" s="252">
        <v>10936.64</v>
      </c>
      <c r="H102" s="291"/>
      <c r="I102" s="212"/>
    </row>
    <row r="103" spans="2:9" ht="38.25">
      <c r="B103" s="213"/>
      <c r="C103" s="349"/>
      <c r="D103" s="328" t="s">
        <v>550</v>
      </c>
      <c r="E103" s="293"/>
      <c r="F103" s="271">
        <v>41143</v>
      </c>
      <c r="G103" s="252">
        <v>14683.07</v>
      </c>
      <c r="H103" s="291"/>
      <c r="I103" s="212"/>
    </row>
    <row r="104" spans="2:9" ht="15">
      <c r="B104" s="213"/>
      <c r="C104" s="349"/>
      <c r="D104" s="328" t="s">
        <v>549</v>
      </c>
      <c r="E104" s="329"/>
      <c r="F104" s="271">
        <v>41220</v>
      </c>
      <c r="G104" s="252">
        <v>39317.93</v>
      </c>
      <c r="H104" s="291"/>
      <c r="I104" s="212"/>
    </row>
    <row r="105" spans="2:9" ht="25.5">
      <c r="B105" s="213"/>
      <c r="C105" s="349"/>
      <c r="D105" s="333" t="s">
        <v>551</v>
      </c>
      <c r="E105" s="333"/>
      <c r="F105" s="271">
        <v>41221</v>
      </c>
      <c r="G105" s="252">
        <v>26325.83</v>
      </c>
      <c r="H105" s="291"/>
      <c r="I105" s="212"/>
    </row>
    <row r="106" spans="2:9" ht="25.5">
      <c r="B106" s="213"/>
      <c r="C106" s="349"/>
      <c r="D106" s="333" t="s">
        <v>552</v>
      </c>
      <c r="E106" s="333"/>
      <c r="F106" s="271">
        <v>41221</v>
      </c>
      <c r="G106" s="252">
        <v>84206.96</v>
      </c>
      <c r="H106" s="291"/>
      <c r="I106" s="212"/>
    </row>
    <row r="107" spans="2:9" ht="15">
      <c r="B107" s="213"/>
      <c r="C107" s="349"/>
      <c r="D107" s="333" t="s">
        <v>549</v>
      </c>
      <c r="E107" s="333"/>
      <c r="F107" s="271">
        <v>41226</v>
      </c>
      <c r="G107" s="252">
        <v>46701.69</v>
      </c>
      <c r="H107" s="291"/>
      <c r="I107" s="212"/>
    </row>
    <row r="108" spans="2:9" ht="25.5">
      <c r="B108" s="213"/>
      <c r="C108" s="349"/>
      <c r="D108" s="333" t="s">
        <v>553</v>
      </c>
      <c r="E108" s="333"/>
      <c r="F108" s="271">
        <v>41226</v>
      </c>
      <c r="G108" s="252">
        <v>16006.11</v>
      </c>
      <c r="H108" s="291"/>
      <c r="I108" s="212"/>
    </row>
    <row r="109" spans="2:9" ht="25.5">
      <c r="B109" s="213"/>
      <c r="C109" s="349"/>
      <c r="D109" s="333" t="s">
        <v>554</v>
      </c>
      <c r="E109" s="333"/>
      <c r="F109" s="271">
        <v>41226</v>
      </c>
      <c r="G109" s="252">
        <v>25262.09</v>
      </c>
      <c r="H109" s="291"/>
      <c r="I109" s="212"/>
    </row>
    <row r="110" spans="2:9" ht="15">
      <c r="B110" s="213"/>
      <c r="C110" s="349"/>
      <c r="D110" s="430" t="s">
        <v>565</v>
      </c>
      <c r="E110" s="337"/>
      <c r="F110" s="271">
        <v>41234</v>
      </c>
      <c r="G110" s="252">
        <v>1271.78</v>
      </c>
      <c r="H110" s="291"/>
      <c r="I110" s="212"/>
    </row>
    <row r="111" spans="2:9" ht="15">
      <c r="B111" s="213"/>
      <c r="C111" s="349"/>
      <c r="D111" s="431"/>
      <c r="E111" s="334"/>
      <c r="F111" s="271">
        <v>41234</v>
      </c>
      <c r="G111" s="252">
        <v>1783.82</v>
      </c>
      <c r="H111" s="291"/>
      <c r="I111" s="212"/>
    </row>
    <row r="112" spans="2:9" ht="15">
      <c r="B112" s="213"/>
      <c r="C112" s="349"/>
      <c r="D112" s="420" t="s">
        <v>368</v>
      </c>
      <c r="E112" s="421"/>
      <c r="F112" s="421"/>
      <c r="G112" s="422"/>
      <c r="H112" s="291"/>
      <c r="I112" s="212"/>
    </row>
    <row r="113" spans="2:9" ht="38.25">
      <c r="B113" s="213"/>
      <c r="C113" s="349"/>
      <c r="D113" s="338" t="s">
        <v>555</v>
      </c>
      <c r="E113" s="293"/>
      <c r="F113" s="271">
        <v>41068</v>
      </c>
      <c r="G113" s="252">
        <v>30000</v>
      </c>
      <c r="H113" s="291"/>
      <c r="I113" s="212"/>
    </row>
    <row r="114" spans="2:9" ht="25.5">
      <c r="B114" s="213"/>
      <c r="C114" s="349"/>
      <c r="D114" s="353" t="s">
        <v>353</v>
      </c>
      <c r="E114" s="234"/>
      <c r="F114" s="271">
        <v>41303</v>
      </c>
      <c r="G114" s="253">
        <v>13200</v>
      </c>
      <c r="H114" s="291"/>
      <c r="I114" s="212"/>
    </row>
    <row r="115" spans="2:9" ht="15">
      <c r="B115" s="213"/>
      <c r="C115" s="354"/>
      <c r="D115" s="420" t="s">
        <v>369</v>
      </c>
      <c r="E115" s="421"/>
      <c r="F115" s="421"/>
      <c r="G115" s="422"/>
      <c r="H115" s="291"/>
      <c r="I115" s="212"/>
    </row>
    <row r="116" spans="2:9" ht="25.5">
      <c r="B116" s="213"/>
      <c r="C116" s="354"/>
      <c r="D116" s="353" t="s">
        <v>353</v>
      </c>
      <c r="E116" s="238"/>
      <c r="F116" s="271">
        <v>41449</v>
      </c>
      <c r="G116" s="252">
        <v>10800</v>
      </c>
      <c r="H116" s="291"/>
      <c r="I116" s="212"/>
    </row>
    <row r="117" spans="2:9" ht="25.5">
      <c r="B117" s="213"/>
      <c r="C117" s="354"/>
      <c r="D117" s="353" t="s">
        <v>353</v>
      </c>
      <c r="E117" s="238"/>
      <c r="F117" s="271">
        <v>41449</v>
      </c>
      <c r="G117" s="252">
        <v>7200</v>
      </c>
      <c r="H117" s="291"/>
      <c r="I117" s="212"/>
    </row>
    <row r="118" spans="2:9" ht="25.5">
      <c r="B118" s="213"/>
      <c r="C118" s="354"/>
      <c r="D118" s="353" t="s">
        <v>353</v>
      </c>
      <c r="E118" s="238"/>
      <c r="F118" s="271">
        <v>41409</v>
      </c>
      <c r="G118" s="252">
        <v>15600</v>
      </c>
      <c r="H118" s="291"/>
      <c r="I118" s="212"/>
    </row>
    <row r="119" spans="2:9" ht="25.5">
      <c r="B119" s="213"/>
      <c r="C119" s="354"/>
      <c r="D119" s="353" t="s">
        <v>353</v>
      </c>
      <c r="E119" s="238"/>
      <c r="F119" s="271">
        <v>41244</v>
      </c>
      <c r="G119" s="252">
        <v>80000</v>
      </c>
      <c r="H119" s="291"/>
      <c r="I119" s="212"/>
    </row>
    <row r="120" spans="2:9" ht="15">
      <c r="B120" s="213"/>
      <c r="C120" s="354"/>
      <c r="D120" s="407" t="s">
        <v>556</v>
      </c>
      <c r="E120" s="238"/>
      <c r="F120" s="271">
        <v>41494</v>
      </c>
      <c r="G120" s="252">
        <f>5997/24.723</f>
        <v>242.5676495570926</v>
      </c>
      <c r="H120" s="291"/>
      <c r="I120" s="212"/>
    </row>
    <row r="121" spans="2:9" ht="15">
      <c r="B121" s="213"/>
      <c r="C121" s="354"/>
      <c r="D121" s="408"/>
      <c r="E121" s="238"/>
      <c r="F121" s="271">
        <v>41494</v>
      </c>
      <c r="G121" s="252">
        <f>19800/24.723</f>
        <v>800.8736803785948</v>
      </c>
      <c r="H121" s="291"/>
      <c r="I121" s="212"/>
    </row>
    <row r="122" spans="2:9" ht="15">
      <c r="B122" s="213"/>
      <c r="C122" s="354"/>
      <c r="D122" s="409"/>
      <c r="E122" s="238"/>
      <c r="F122" s="271">
        <v>41494</v>
      </c>
      <c r="G122" s="252">
        <f>58831.04/24.723</f>
        <v>2379.607652792946</v>
      </c>
      <c r="H122" s="291"/>
      <c r="I122" s="212"/>
    </row>
    <row r="123" spans="2:9" ht="15">
      <c r="B123" s="213"/>
      <c r="C123" s="354"/>
      <c r="D123" s="407" t="s">
        <v>557</v>
      </c>
      <c r="E123" s="305"/>
      <c r="F123" s="271">
        <v>41303</v>
      </c>
      <c r="G123" s="252">
        <f>62813.36/24.723</f>
        <v>2540.6851919265464</v>
      </c>
      <c r="H123" s="291"/>
      <c r="I123" s="212"/>
    </row>
    <row r="124" spans="2:9" ht="15">
      <c r="B124" s="213"/>
      <c r="C124" s="354"/>
      <c r="D124" s="408"/>
      <c r="E124" s="305"/>
      <c r="F124" s="271">
        <v>41303</v>
      </c>
      <c r="G124" s="252">
        <f>5088.84/24.723</f>
        <v>205.83424341706106</v>
      </c>
      <c r="H124" s="291"/>
      <c r="I124" s="212"/>
    </row>
    <row r="125" spans="2:9" ht="15">
      <c r="B125" s="213"/>
      <c r="C125" s="354"/>
      <c r="D125" s="409"/>
      <c r="E125" s="305"/>
      <c r="F125" s="271">
        <v>41303</v>
      </c>
      <c r="G125" s="252">
        <f>8745.99/24.723</f>
        <v>353.75925251789835</v>
      </c>
      <c r="H125" s="291"/>
      <c r="I125" s="212"/>
    </row>
    <row r="126" spans="2:9" ht="15">
      <c r="B126" s="213"/>
      <c r="C126" s="354"/>
      <c r="D126" s="355" t="s">
        <v>558</v>
      </c>
      <c r="E126" s="305"/>
      <c r="F126" s="271">
        <v>41303</v>
      </c>
      <c r="G126" s="252">
        <f>89579.74/24.723</f>
        <v>3623.336164704931</v>
      </c>
      <c r="H126" s="291"/>
      <c r="I126" s="212"/>
    </row>
    <row r="127" spans="2:9" ht="15">
      <c r="B127" s="213"/>
      <c r="C127" s="354"/>
      <c r="D127" s="407" t="s">
        <v>559</v>
      </c>
      <c r="E127" s="305"/>
      <c r="F127" s="271">
        <v>41303</v>
      </c>
      <c r="G127" s="252">
        <f>30238.25/24.723</f>
        <v>1223.0817457428307</v>
      </c>
      <c r="H127" s="291"/>
      <c r="I127" s="212"/>
    </row>
    <row r="128" spans="2:9" ht="15">
      <c r="B128" s="213"/>
      <c r="C128" s="354"/>
      <c r="D128" s="408"/>
      <c r="E128" s="305"/>
      <c r="F128" s="271">
        <v>41303</v>
      </c>
      <c r="G128" s="252">
        <f>2394/24.723</f>
        <v>96.83290862759374</v>
      </c>
      <c r="H128" s="291"/>
      <c r="I128" s="212"/>
    </row>
    <row r="129" spans="2:9" ht="15">
      <c r="B129" s="213"/>
      <c r="C129" s="354"/>
      <c r="D129" s="408"/>
      <c r="E129" s="305"/>
      <c r="F129" s="271">
        <v>41303</v>
      </c>
      <c r="G129" s="252">
        <f>14135.56/24.723</f>
        <v>571.7574727986085</v>
      </c>
      <c r="H129" s="291"/>
      <c r="I129" s="212"/>
    </row>
    <row r="130" spans="2:9" ht="15">
      <c r="B130" s="213"/>
      <c r="C130" s="354"/>
      <c r="D130" s="408"/>
      <c r="E130" s="305"/>
      <c r="F130" s="271">
        <v>41303</v>
      </c>
      <c r="G130" s="252">
        <f>16770.33/24.723</f>
        <v>678.3290862759375</v>
      </c>
      <c r="H130" s="291"/>
      <c r="I130" s="212"/>
    </row>
    <row r="131" spans="2:9" ht="15">
      <c r="B131" s="213"/>
      <c r="C131" s="354"/>
      <c r="D131" s="408"/>
      <c r="E131" s="305"/>
      <c r="F131" s="271">
        <v>41303</v>
      </c>
      <c r="G131" s="252">
        <f>10980.2/24.723</f>
        <v>444.12894875217415</v>
      </c>
      <c r="H131" s="291"/>
      <c r="I131" s="212"/>
    </row>
    <row r="132" spans="2:9" ht="15">
      <c r="B132" s="213"/>
      <c r="C132" s="354"/>
      <c r="D132" s="409"/>
      <c r="E132" s="305"/>
      <c r="F132" s="271">
        <v>41303</v>
      </c>
      <c r="G132" s="252">
        <f>11409.28/24.723</f>
        <v>461.48444768029776</v>
      </c>
      <c r="H132" s="291"/>
      <c r="I132" s="212"/>
    </row>
    <row r="133" spans="2:9" ht="15">
      <c r="B133" s="213"/>
      <c r="C133" s="354"/>
      <c r="D133" s="353" t="s">
        <v>560</v>
      </c>
      <c r="E133" s="305"/>
      <c r="F133" s="271">
        <v>41316</v>
      </c>
      <c r="G133" s="252">
        <f>686425.35/24.723</f>
        <v>27764.646280791167</v>
      </c>
      <c r="H133" s="291"/>
      <c r="I133" s="212"/>
    </row>
    <row r="134" spans="2:9" ht="15">
      <c r="B134" s="213"/>
      <c r="C134" s="354"/>
      <c r="D134" s="428" t="s">
        <v>561</v>
      </c>
      <c r="E134" s="331"/>
      <c r="F134" s="271">
        <v>41115</v>
      </c>
      <c r="G134" s="252">
        <v>1268.94</v>
      </c>
      <c r="H134" s="291"/>
      <c r="I134" s="212"/>
    </row>
    <row r="135" spans="2:9" ht="15">
      <c r="B135" s="213"/>
      <c r="C135" s="354"/>
      <c r="D135" s="429"/>
      <c r="E135" s="331"/>
      <c r="F135" s="271">
        <v>41115</v>
      </c>
      <c r="G135" s="252">
        <v>2817.5</v>
      </c>
      <c r="H135" s="291"/>
      <c r="I135" s="212"/>
    </row>
    <row r="136" spans="2:9" ht="15">
      <c r="B136" s="213"/>
      <c r="C136" s="354"/>
      <c r="D136" s="353" t="s">
        <v>560</v>
      </c>
      <c r="E136" s="303"/>
      <c r="F136" s="271">
        <v>41240</v>
      </c>
      <c r="G136" s="252">
        <v>7504.78</v>
      </c>
      <c r="H136" s="291"/>
      <c r="I136" s="212"/>
    </row>
    <row r="137" spans="2:9" ht="15">
      <c r="B137" s="213"/>
      <c r="C137" s="354"/>
      <c r="D137" s="353" t="s">
        <v>560</v>
      </c>
      <c r="E137" s="303"/>
      <c r="F137" s="271">
        <v>41257</v>
      </c>
      <c r="G137" s="252">
        <v>5234.657039711191</v>
      </c>
      <c r="H137" s="291"/>
      <c r="I137" s="212"/>
    </row>
    <row r="138" spans="2:9" ht="15">
      <c r="B138" s="213"/>
      <c r="C138" s="354"/>
      <c r="D138" s="349"/>
      <c r="E138" s="306"/>
      <c r="F138" s="306"/>
      <c r="G138" s="215"/>
      <c r="H138" s="291"/>
      <c r="I138" s="212"/>
    </row>
    <row r="139" spans="2:9" ht="15">
      <c r="B139" s="213"/>
      <c r="C139" s="354"/>
      <c r="D139" s="349"/>
      <c r="E139" s="292"/>
      <c r="F139" s="292"/>
      <c r="G139" s="215"/>
      <c r="H139" s="291"/>
      <c r="I139" s="212"/>
    </row>
    <row r="140" spans="2:9" ht="15">
      <c r="B140" s="213"/>
      <c r="C140" s="354"/>
      <c r="D140" s="354"/>
      <c r="E140" s="211"/>
      <c r="F140" s="211"/>
      <c r="G140" s="211"/>
      <c r="H140" s="211"/>
      <c r="I140" s="212"/>
    </row>
    <row r="141" spans="2:9" ht="15">
      <c r="B141" s="213"/>
      <c r="C141" s="418" t="s">
        <v>241</v>
      </c>
      <c r="D141" s="418"/>
      <c r="E141" s="211"/>
      <c r="F141" s="211"/>
      <c r="G141" s="211"/>
      <c r="H141" s="211"/>
      <c r="I141" s="212"/>
    </row>
    <row r="142" spans="2:9" ht="15.75" thickBot="1">
      <c r="B142" s="213"/>
      <c r="C142" s="432" t="s">
        <v>243</v>
      </c>
      <c r="D142" s="432"/>
      <c r="E142" s="432"/>
      <c r="F142" s="211"/>
      <c r="G142" s="211"/>
      <c r="H142" s="211"/>
      <c r="I142" s="212"/>
    </row>
    <row r="143" spans="2:9" ht="15.75" thickBot="1">
      <c r="B143" s="216"/>
      <c r="C143" s="356" t="s">
        <v>242</v>
      </c>
      <c r="D143" s="357" t="s">
        <v>354</v>
      </c>
      <c r="E143" s="239" t="s">
        <v>357</v>
      </c>
      <c r="F143" s="217" t="s">
        <v>355</v>
      </c>
      <c r="G143" s="218" t="s">
        <v>357</v>
      </c>
      <c r="H143" s="218" t="s">
        <v>358</v>
      </c>
      <c r="I143" s="212"/>
    </row>
    <row r="144" spans="2:9" ht="15">
      <c r="B144" s="216"/>
      <c r="C144" s="433" t="s">
        <v>365</v>
      </c>
      <c r="D144" s="434"/>
      <c r="E144" s="434"/>
      <c r="F144" s="434"/>
      <c r="G144" s="434"/>
      <c r="H144" s="435"/>
      <c r="I144" s="212"/>
    </row>
    <row r="145" spans="2:9" ht="15">
      <c r="B145" s="216"/>
      <c r="C145" s="436" t="s">
        <v>406</v>
      </c>
      <c r="D145" s="308"/>
      <c r="E145" s="309">
        <v>185934.27</v>
      </c>
      <c r="F145" s="436"/>
      <c r="G145" s="437">
        <v>185934.27</v>
      </c>
      <c r="H145" s="438" t="s">
        <v>576</v>
      </c>
      <c r="I145" s="212"/>
    </row>
    <row r="146" spans="2:9" ht="15">
      <c r="B146" s="216"/>
      <c r="C146" s="436"/>
      <c r="D146" s="308"/>
      <c r="E146" s="312">
        <f>6772775.48/24.54</f>
        <v>275989.2208638957</v>
      </c>
      <c r="F146" s="436"/>
      <c r="G146" s="437"/>
      <c r="H146" s="438"/>
      <c r="I146" s="212"/>
    </row>
    <row r="147" spans="2:9" ht="15">
      <c r="B147" s="216"/>
      <c r="C147" s="436"/>
      <c r="D147" s="308"/>
      <c r="E147" s="312">
        <f>13927456.87/24.54</f>
        <v>567541.0297473513</v>
      </c>
      <c r="F147" s="436"/>
      <c r="G147" s="437"/>
      <c r="H147" s="438"/>
      <c r="I147" s="212"/>
    </row>
    <row r="148" spans="2:9" ht="15">
      <c r="B148" s="216"/>
      <c r="C148" s="436" t="s">
        <v>429</v>
      </c>
      <c r="D148" s="308"/>
      <c r="E148" s="312">
        <v>2785.65</v>
      </c>
      <c r="F148" s="436"/>
      <c r="G148" s="439">
        <v>2785.65</v>
      </c>
      <c r="H148" s="438" t="s">
        <v>407</v>
      </c>
      <c r="I148" s="212"/>
    </row>
    <row r="149" spans="2:9" ht="15">
      <c r="B149" s="216"/>
      <c r="C149" s="436"/>
      <c r="D149" s="308"/>
      <c r="E149" s="312">
        <v>2785.65</v>
      </c>
      <c r="F149" s="436"/>
      <c r="G149" s="439"/>
      <c r="H149" s="438"/>
      <c r="I149" s="212"/>
    </row>
    <row r="150" spans="2:9" ht="15">
      <c r="B150" s="216"/>
      <c r="C150" s="436"/>
      <c r="D150" s="308"/>
      <c r="E150" s="312">
        <v>2785.65</v>
      </c>
      <c r="F150" s="436"/>
      <c r="G150" s="439"/>
      <c r="H150" s="438"/>
      <c r="I150" s="212"/>
    </row>
    <row r="151" spans="2:9" ht="15">
      <c r="B151" s="216"/>
      <c r="C151" s="436"/>
      <c r="D151" s="308"/>
      <c r="E151" s="312">
        <v>2785.65</v>
      </c>
      <c r="F151" s="436"/>
      <c r="G151" s="439">
        <v>2785.65</v>
      </c>
      <c r="H151" s="438" t="s">
        <v>407</v>
      </c>
      <c r="I151" s="212"/>
    </row>
    <row r="152" spans="2:9" ht="15">
      <c r="B152" s="216"/>
      <c r="C152" s="436"/>
      <c r="D152" s="308"/>
      <c r="E152" s="312">
        <v>2785.65</v>
      </c>
      <c r="F152" s="436"/>
      <c r="G152" s="439"/>
      <c r="H152" s="438"/>
      <c r="I152" s="212"/>
    </row>
    <row r="153" spans="2:9" ht="15">
      <c r="B153" s="216"/>
      <c r="C153" s="436"/>
      <c r="D153" s="308"/>
      <c r="E153" s="312">
        <v>2785.65</v>
      </c>
      <c r="F153" s="436"/>
      <c r="G153" s="439"/>
      <c r="H153" s="438"/>
      <c r="I153" s="212"/>
    </row>
    <row r="154" spans="2:9" ht="15">
      <c r="B154" s="216"/>
      <c r="C154" s="436"/>
      <c r="D154" s="308"/>
      <c r="E154" s="312">
        <v>2785.65</v>
      </c>
      <c r="F154" s="436"/>
      <c r="G154" s="439">
        <v>2785.65</v>
      </c>
      <c r="H154" s="438" t="s">
        <v>407</v>
      </c>
      <c r="I154" s="212"/>
    </row>
    <row r="155" spans="2:9" ht="15">
      <c r="B155" s="216"/>
      <c r="C155" s="436"/>
      <c r="D155" s="308"/>
      <c r="E155" s="312">
        <v>2785.65</v>
      </c>
      <c r="F155" s="436"/>
      <c r="G155" s="439"/>
      <c r="H155" s="438"/>
      <c r="I155" s="212"/>
    </row>
    <row r="156" spans="2:9" ht="15">
      <c r="B156" s="216"/>
      <c r="C156" s="436"/>
      <c r="D156" s="308"/>
      <c r="E156" s="312">
        <v>2785.65</v>
      </c>
      <c r="F156" s="436"/>
      <c r="G156" s="439"/>
      <c r="H156" s="438"/>
      <c r="I156" s="212"/>
    </row>
    <row r="157" spans="2:9" ht="15">
      <c r="B157" s="216"/>
      <c r="C157" s="436" t="s">
        <v>435</v>
      </c>
      <c r="D157" s="297"/>
      <c r="E157" s="312">
        <v>1857.1</v>
      </c>
      <c r="F157" s="440"/>
      <c r="G157" s="439">
        <v>1857.1</v>
      </c>
      <c r="H157" s="438" t="s">
        <v>436</v>
      </c>
      <c r="I157" s="212"/>
    </row>
    <row r="158" spans="2:9" ht="15">
      <c r="B158" s="216"/>
      <c r="C158" s="436"/>
      <c r="D158" s="297"/>
      <c r="E158" s="312">
        <v>1857.1</v>
      </c>
      <c r="F158" s="440"/>
      <c r="G158" s="439"/>
      <c r="H158" s="438"/>
      <c r="I158" s="212"/>
    </row>
    <row r="159" spans="2:9" ht="15">
      <c r="B159" s="216"/>
      <c r="C159" s="436"/>
      <c r="D159" s="297"/>
      <c r="E159" s="312">
        <v>1857.1</v>
      </c>
      <c r="F159" s="440"/>
      <c r="G159" s="439"/>
      <c r="H159" s="438"/>
      <c r="I159" s="212"/>
    </row>
    <row r="160" spans="2:9" ht="15">
      <c r="B160" s="216"/>
      <c r="C160" s="436"/>
      <c r="D160" s="296"/>
      <c r="E160" s="312">
        <v>1857.1</v>
      </c>
      <c r="F160" s="441"/>
      <c r="G160" s="439">
        <v>1857.1</v>
      </c>
      <c r="H160" s="438" t="s">
        <v>436</v>
      </c>
      <c r="I160" s="212"/>
    </row>
    <row r="161" spans="2:9" ht="15">
      <c r="B161" s="216"/>
      <c r="C161" s="436"/>
      <c r="D161" s="296"/>
      <c r="E161" s="312">
        <v>1857.1</v>
      </c>
      <c r="F161" s="441"/>
      <c r="G161" s="439"/>
      <c r="H161" s="438"/>
      <c r="I161" s="212"/>
    </row>
    <row r="162" spans="2:9" ht="15">
      <c r="B162" s="216"/>
      <c r="C162" s="436"/>
      <c r="D162" s="296"/>
      <c r="E162" s="312">
        <v>1857.1</v>
      </c>
      <c r="F162" s="441"/>
      <c r="G162" s="439"/>
      <c r="H162" s="438"/>
      <c r="I162" s="212"/>
    </row>
    <row r="163" spans="2:9" ht="15">
      <c r="B163" s="216"/>
      <c r="C163" s="436"/>
      <c r="D163" s="296"/>
      <c r="E163" s="312">
        <v>1857.1</v>
      </c>
      <c r="F163" s="441"/>
      <c r="G163" s="439">
        <v>1857.1</v>
      </c>
      <c r="H163" s="438" t="s">
        <v>436</v>
      </c>
      <c r="I163" s="212"/>
    </row>
    <row r="164" spans="2:9" ht="15">
      <c r="B164" s="216"/>
      <c r="C164" s="436"/>
      <c r="D164" s="296"/>
      <c r="E164" s="312">
        <v>1857.1</v>
      </c>
      <c r="F164" s="441"/>
      <c r="G164" s="439"/>
      <c r="H164" s="438"/>
      <c r="I164" s="212"/>
    </row>
    <row r="165" spans="2:9" ht="15">
      <c r="B165" s="274"/>
      <c r="C165" s="436"/>
      <c r="D165" s="296"/>
      <c r="E165" s="312">
        <v>1857.1</v>
      </c>
      <c r="F165" s="441"/>
      <c r="G165" s="439"/>
      <c r="H165" s="438"/>
      <c r="I165" s="273"/>
    </row>
    <row r="166" spans="2:9" ht="15">
      <c r="B166" s="216"/>
      <c r="C166" s="436" t="s">
        <v>430</v>
      </c>
      <c r="D166" s="308"/>
      <c r="E166" s="312">
        <v>12000</v>
      </c>
      <c r="F166" s="436"/>
      <c r="G166" s="439">
        <v>12000</v>
      </c>
      <c r="H166" s="438" t="s">
        <v>432</v>
      </c>
      <c r="I166" s="212"/>
    </row>
    <row r="167" spans="2:9" ht="15">
      <c r="B167" s="216"/>
      <c r="C167" s="436"/>
      <c r="D167" s="308"/>
      <c r="E167" s="312">
        <v>12000</v>
      </c>
      <c r="F167" s="436"/>
      <c r="G167" s="439"/>
      <c r="H167" s="438"/>
      <c r="I167" s="212"/>
    </row>
    <row r="168" spans="2:9" ht="15">
      <c r="B168" s="216"/>
      <c r="C168" s="436"/>
      <c r="D168" s="308"/>
      <c r="E168" s="312">
        <v>12000</v>
      </c>
      <c r="F168" s="436"/>
      <c r="G168" s="439"/>
      <c r="H168" s="438"/>
      <c r="I168" s="212"/>
    </row>
    <row r="169" spans="2:9" ht="15">
      <c r="B169" s="216"/>
      <c r="C169" s="436" t="s">
        <v>431</v>
      </c>
      <c r="D169" s="308"/>
      <c r="E169" s="312">
        <f>141170.65/24.5</f>
        <v>5762.067346938776</v>
      </c>
      <c r="F169" s="436"/>
      <c r="G169" s="439">
        <v>5532.76</v>
      </c>
      <c r="H169" s="438" t="s">
        <v>408</v>
      </c>
      <c r="I169" s="212"/>
    </row>
    <row r="170" spans="2:9" ht="15">
      <c r="B170" s="216"/>
      <c r="C170" s="436"/>
      <c r="D170" s="308"/>
      <c r="E170" s="312">
        <f>149045.29/24.5</f>
        <v>6083.481224489797</v>
      </c>
      <c r="F170" s="436"/>
      <c r="G170" s="439"/>
      <c r="H170" s="438"/>
      <c r="I170" s="212"/>
    </row>
    <row r="171" spans="2:9" ht="15">
      <c r="B171" s="216"/>
      <c r="C171" s="436"/>
      <c r="D171" s="308"/>
      <c r="E171" s="312">
        <v>5532.76</v>
      </c>
      <c r="F171" s="436"/>
      <c r="G171" s="439"/>
      <c r="H171" s="438"/>
      <c r="I171" s="212"/>
    </row>
    <row r="172" spans="2:9" ht="15">
      <c r="B172" s="313"/>
      <c r="C172" s="442" t="s">
        <v>528</v>
      </c>
      <c r="D172" s="339"/>
      <c r="E172" s="314">
        <f>287108.24/24.723</f>
        <v>11613.001658374793</v>
      </c>
      <c r="F172" s="445"/>
      <c r="G172" s="439">
        <v>11613</v>
      </c>
      <c r="H172" s="446" t="s">
        <v>408</v>
      </c>
      <c r="I172" s="315"/>
    </row>
    <row r="173" spans="2:9" ht="15">
      <c r="B173" s="216"/>
      <c r="C173" s="443"/>
      <c r="D173" s="339"/>
      <c r="E173" s="314">
        <f>723236.98/24.723</f>
        <v>29253.60918982324</v>
      </c>
      <c r="F173" s="445"/>
      <c r="G173" s="439"/>
      <c r="H173" s="447"/>
      <c r="I173" s="212"/>
    </row>
    <row r="174" spans="2:9" ht="15">
      <c r="B174" s="313"/>
      <c r="C174" s="443"/>
      <c r="D174" s="339"/>
      <c r="E174" s="314">
        <f>392465.5/24.723</f>
        <v>15874.509565991182</v>
      </c>
      <c r="F174" s="445"/>
      <c r="G174" s="439">
        <v>15874.51</v>
      </c>
      <c r="H174" s="447"/>
      <c r="I174" s="315"/>
    </row>
    <row r="175" spans="2:9" ht="15">
      <c r="B175" s="216"/>
      <c r="C175" s="443"/>
      <c r="D175" s="339"/>
      <c r="E175" s="314">
        <f>995837.2/24.723</f>
        <v>40279.78805161186</v>
      </c>
      <c r="F175" s="445"/>
      <c r="G175" s="439"/>
      <c r="H175" s="447"/>
      <c r="I175" s="212"/>
    </row>
    <row r="176" spans="2:9" ht="15">
      <c r="B176" s="216"/>
      <c r="C176" s="443"/>
      <c r="D176" s="339"/>
      <c r="E176" s="314">
        <f>362100.11/24.723</f>
        <v>14646.285240464345</v>
      </c>
      <c r="F176" s="445"/>
      <c r="G176" s="439"/>
      <c r="H176" s="447"/>
      <c r="I176" s="212"/>
    </row>
    <row r="177" spans="2:9" ht="15">
      <c r="B177" s="313"/>
      <c r="C177" s="443"/>
      <c r="D177" s="339"/>
      <c r="E177" s="314">
        <f>153410/24.723</f>
        <v>6205.153096307083</v>
      </c>
      <c r="F177" s="445"/>
      <c r="G177" s="439">
        <v>6205.15</v>
      </c>
      <c r="H177" s="447"/>
      <c r="I177" s="315"/>
    </row>
    <row r="178" spans="2:9" ht="15">
      <c r="B178" s="216"/>
      <c r="C178" s="443"/>
      <c r="D178" s="339"/>
      <c r="E178" s="314">
        <f>159265/24.723</f>
        <v>6441.977106338228</v>
      </c>
      <c r="F178" s="445"/>
      <c r="G178" s="439"/>
      <c r="H178" s="447"/>
      <c r="I178" s="212"/>
    </row>
    <row r="179" spans="2:9" ht="15">
      <c r="B179" s="216"/>
      <c r="C179" s="444"/>
      <c r="D179" s="339"/>
      <c r="E179" s="314">
        <f>169165/24.723</f>
        <v>6842.413946527526</v>
      </c>
      <c r="F179" s="445"/>
      <c r="G179" s="439"/>
      <c r="H179" s="448"/>
      <c r="I179" s="212"/>
    </row>
    <row r="180" spans="2:9" ht="15">
      <c r="B180" s="216"/>
      <c r="C180" s="442" t="s">
        <v>529</v>
      </c>
      <c r="D180" s="339"/>
      <c r="E180" s="314">
        <f>161263/24.723</f>
        <v>6522.79254135825</v>
      </c>
      <c r="F180" s="449"/>
      <c r="G180" s="451">
        <f>48373.9/24.723</f>
        <v>1956.6355215790966</v>
      </c>
      <c r="H180" s="446" t="s">
        <v>562</v>
      </c>
      <c r="I180" s="212"/>
    </row>
    <row r="181" spans="2:9" ht="15">
      <c r="B181" s="216"/>
      <c r="C181" s="443"/>
      <c r="D181" s="339"/>
      <c r="E181" s="314">
        <f>479184/24.723</f>
        <v>19382.113821138213</v>
      </c>
      <c r="F181" s="450"/>
      <c r="G181" s="452"/>
      <c r="H181" s="447"/>
      <c r="I181" s="212"/>
    </row>
    <row r="182" spans="2:9" ht="15">
      <c r="B182" s="216"/>
      <c r="C182" s="443"/>
      <c r="D182" s="339"/>
      <c r="E182" s="314">
        <f>204750/24.723</f>
        <v>8281.761922096834</v>
      </c>
      <c r="F182" s="339"/>
      <c r="G182" s="314">
        <f>204750/24.723</f>
        <v>8281.761922096834</v>
      </c>
      <c r="H182" s="447"/>
      <c r="I182" s="212"/>
    </row>
    <row r="183" spans="2:9" ht="15">
      <c r="B183" s="216"/>
      <c r="C183" s="443"/>
      <c r="D183" s="339"/>
      <c r="E183" s="314">
        <f>160742/24.723</f>
        <v>6501.719047041217</v>
      </c>
      <c r="F183" s="339"/>
      <c r="G183" s="314">
        <f>102844.83/24.723</f>
        <v>4159.884722727825</v>
      </c>
      <c r="H183" s="447"/>
      <c r="I183" s="212"/>
    </row>
    <row r="184" spans="2:9" ht="15">
      <c r="B184" s="216"/>
      <c r="C184" s="443"/>
      <c r="D184" s="339"/>
      <c r="E184" s="314">
        <f>99960/24.723</f>
        <v>4043.1986409416336</v>
      </c>
      <c r="F184" s="339"/>
      <c r="G184" s="314">
        <f>99960/24.723</f>
        <v>4043.1986409416336</v>
      </c>
      <c r="H184" s="447"/>
      <c r="I184" s="212"/>
    </row>
    <row r="185" spans="2:9" ht="15">
      <c r="B185" s="216"/>
      <c r="C185" s="443"/>
      <c r="D185" s="339"/>
      <c r="E185" s="314">
        <f>45864/24.723</f>
        <v>1855.1146705496906</v>
      </c>
      <c r="F185" s="339"/>
      <c r="G185" s="314">
        <f>45864/24.723</f>
        <v>1855.1146705496906</v>
      </c>
      <c r="H185" s="447"/>
      <c r="I185" s="212"/>
    </row>
    <row r="186" spans="2:9" ht="15">
      <c r="B186" s="216"/>
      <c r="C186" s="443"/>
      <c r="D186" s="339"/>
      <c r="E186" s="314">
        <f>105840/24.723</f>
        <v>4281.033855114671</v>
      </c>
      <c r="F186" s="445"/>
      <c r="G186" s="453">
        <f>30000/24.723</f>
        <v>1213.4449702705983</v>
      </c>
      <c r="H186" s="447"/>
      <c r="I186" s="212"/>
    </row>
    <row r="187" spans="2:9" ht="15">
      <c r="B187" s="216"/>
      <c r="C187" s="443"/>
      <c r="D187" s="311"/>
      <c r="E187" s="314">
        <f>393814/24.723</f>
        <v>15929.053917404846</v>
      </c>
      <c r="F187" s="445"/>
      <c r="G187" s="454"/>
      <c r="H187" s="447"/>
      <c r="I187" s="212"/>
    </row>
    <row r="188" spans="2:9" ht="15">
      <c r="B188" s="216"/>
      <c r="C188" s="443"/>
      <c r="D188" s="339"/>
      <c r="E188" s="314">
        <v>1213.44</v>
      </c>
      <c r="F188" s="445"/>
      <c r="G188" s="455"/>
      <c r="H188" s="448"/>
      <c r="I188" s="212"/>
    </row>
    <row r="189" spans="2:9" ht="15">
      <c r="B189" s="216"/>
      <c r="C189" s="442" t="s">
        <v>563</v>
      </c>
      <c r="D189" s="339"/>
      <c r="E189" s="314">
        <f>68795.6/24.723</f>
        <v>2782.6558265582657</v>
      </c>
      <c r="F189" s="456"/>
      <c r="G189" s="437">
        <v>2782.6558265582657</v>
      </c>
      <c r="H189" s="446" t="s">
        <v>562</v>
      </c>
      <c r="I189" s="212"/>
    </row>
    <row r="190" spans="2:9" ht="15">
      <c r="B190" s="216"/>
      <c r="C190" s="443"/>
      <c r="D190" s="339"/>
      <c r="E190" s="314">
        <f>592198/24.723</f>
        <v>23953.322816810258</v>
      </c>
      <c r="F190" s="457"/>
      <c r="G190" s="437"/>
      <c r="H190" s="447"/>
      <c r="I190" s="212"/>
    </row>
    <row r="191" spans="2:9" ht="15">
      <c r="B191" s="216"/>
      <c r="C191" s="443"/>
      <c r="D191" s="339"/>
      <c r="E191" s="314">
        <f>569880.96/24.723</f>
        <v>23050.63948549933</v>
      </c>
      <c r="F191" s="339"/>
      <c r="G191" s="314">
        <v>21181.136997937145</v>
      </c>
      <c r="H191" s="447"/>
      <c r="I191" s="212"/>
    </row>
    <row r="192" spans="2:9" ht="15">
      <c r="B192" s="216"/>
      <c r="C192" s="443"/>
      <c r="D192" s="339"/>
      <c r="E192" s="314">
        <f>35249/24.723</f>
        <v>1425.7573919022773</v>
      </c>
      <c r="F192" s="341"/>
      <c r="G192" s="316">
        <v>1076.5222667152045</v>
      </c>
      <c r="H192" s="447"/>
      <c r="I192" s="212"/>
    </row>
    <row r="193" spans="2:9" ht="15">
      <c r="B193" s="216"/>
      <c r="C193" s="443"/>
      <c r="D193" s="339"/>
      <c r="E193" s="314">
        <f>29988/24.723</f>
        <v>1212.9595922824901</v>
      </c>
      <c r="F193" s="449"/>
      <c r="G193" s="451">
        <v>1212.9595922824901</v>
      </c>
      <c r="H193" s="447"/>
      <c r="I193" s="212"/>
    </row>
    <row r="194" spans="2:9" ht="26.25" customHeight="1">
      <c r="B194" s="216"/>
      <c r="C194" s="443"/>
      <c r="D194" s="339"/>
      <c r="E194" s="314">
        <f>32400/24.723</f>
        <v>1310.5205678922462</v>
      </c>
      <c r="F194" s="450"/>
      <c r="G194" s="452"/>
      <c r="H194" s="447"/>
      <c r="I194" s="212"/>
    </row>
    <row r="195" spans="2:9" ht="15">
      <c r="B195" s="216"/>
      <c r="C195" s="443"/>
      <c r="D195" s="339"/>
      <c r="E195" s="314">
        <f>7200/24.723</f>
        <v>291.2267928649436</v>
      </c>
      <c r="F195" s="339"/>
      <c r="G195" s="314">
        <v>291.2267928649436</v>
      </c>
      <c r="H195" s="448"/>
      <c r="I195" s="212"/>
    </row>
    <row r="196" spans="2:9" ht="15">
      <c r="B196" s="216"/>
      <c r="C196" s="442" t="s">
        <v>531</v>
      </c>
      <c r="D196" s="339"/>
      <c r="E196" s="314">
        <f>40500/24.723</f>
        <v>1638.1507098653076</v>
      </c>
      <c r="F196" s="445"/>
      <c r="G196" s="437">
        <v>1638.1507098653076</v>
      </c>
      <c r="H196" s="446" t="s">
        <v>523</v>
      </c>
      <c r="I196" s="212"/>
    </row>
    <row r="197" spans="2:9" ht="15">
      <c r="B197" s="216"/>
      <c r="C197" s="443"/>
      <c r="D197" s="339"/>
      <c r="E197" s="314">
        <f>715559.04/24.723</f>
        <v>28943.050600655264</v>
      </c>
      <c r="F197" s="445"/>
      <c r="G197" s="437"/>
      <c r="H197" s="447"/>
      <c r="I197" s="212"/>
    </row>
    <row r="198" spans="2:9" ht="15">
      <c r="B198" s="216"/>
      <c r="C198" s="443"/>
      <c r="D198" s="339"/>
      <c r="E198" s="314">
        <f>237779.8/24.723</f>
        <v>9617.756744731627</v>
      </c>
      <c r="F198" s="445"/>
      <c r="G198" s="437">
        <v>2866.292521134167</v>
      </c>
      <c r="H198" s="447"/>
      <c r="I198" s="212"/>
    </row>
    <row r="199" spans="2:9" ht="15">
      <c r="B199" s="216"/>
      <c r="C199" s="443"/>
      <c r="D199" s="339"/>
      <c r="E199" s="314">
        <f>661226.4/24.723</f>
        <v>26745.394976337826</v>
      </c>
      <c r="F199" s="445"/>
      <c r="G199" s="437"/>
      <c r="H199" s="447"/>
      <c r="I199" s="212"/>
    </row>
    <row r="200" spans="2:9" ht="15">
      <c r="B200" s="216"/>
      <c r="C200" s="443"/>
      <c r="D200" s="339"/>
      <c r="E200" s="314">
        <f>242605.08/24.723</f>
        <v>9812.930469603203</v>
      </c>
      <c r="F200" s="445"/>
      <c r="G200" s="437">
        <v>6239.827286332565</v>
      </c>
      <c r="H200" s="447"/>
      <c r="I200" s="212"/>
    </row>
    <row r="201" spans="2:9" ht="15">
      <c r="B201" s="216"/>
      <c r="C201" s="443"/>
      <c r="D201" s="339"/>
      <c r="E201" s="314">
        <f>764328.6/24.723</f>
        <v>30915.6898434656</v>
      </c>
      <c r="F201" s="445"/>
      <c r="G201" s="437"/>
      <c r="H201" s="447"/>
      <c r="I201" s="212"/>
    </row>
    <row r="202" spans="2:9" ht="15">
      <c r="B202" s="216"/>
      <c r="C202" s="443"/>
      <c r="D202" s="339"/>
      <c r="E202" s="314">
        <f>319410/24.723</f>
        <v>12919.54859847106</v>
      </c>
      <c r="F202" s="339"/>
      <c r="G202" s="310">
        <v>12919.54859847106</v>
      </c>
      <c r="H202" s="447"/>
      <c r="I202" s="212"/>
    </row>
    <row r="203" spans="2:9" ht="15">
      <c r="B203" s="216"/>
      <c r="C203" s="443"/>
      <c r="D203" s="339"/>
      <c r="E203" s="314">
        <f>112455/24.723</f>
        <v>4548.5984710593375</v>
      </c>
      <c r="F203" s="445"/>
      <c r="G203" s="437">
        <v>4548.5984710593375</v>
      </c>
      <c r="H203" s="447"/>
      <c r="I203" s="212"/>
    </row>
    <row r="204" spans="2:9" ht="15">
      <c r="B204" s="216"/>
      <c r="C204" s="443"/>
      <c r="D204" s="339"/>
      <c r="E204" s="314">
        <f>121500/24.723</f>
        <v>4914.452129595923</v>
      </c>
      <c r="F204" s="445"/>
      <c r="G204" s="437"/>
      <c r="H204" s="447"/>
      <c r="I204" s="212"/>
    </row>
    <row r="205" spans="2:9" ht="15">
      <c r="B205" s="216"/>
      <c r="C205" s="443"/>
      <c r="D205" s="339"/>
      <c r="E205" s="314">
        <f>72618/24.723</f>
        <v>2937.2648950370103</v>
      </c>
      <c r="F205" s="445"/>
      <c r="G205" s="437">
        <v>2937.2648950370103</v>
      </c>
      <c r="H205" s="447"/>
      <c r="I205" s="212"/>
    </row>
    <row r="206" spans="2:9" ht="15">
      <c r="B206" s="216"/>
      <c r="C206" s="444"/>
      <c r="D206" s="339"/>
      <c r="E206" s="314">
        <f>74100/24.723</f>
        <v>2997.209076568378</v>
      </c>
      <c r="F206" s="445"/>
      <c r="G206" s="437"/>
      <c r="H206" s="448"/>
      <c r="I206" s="212"/>
    </row>
    <row r="207" spans="2:9" ht="15">
      <c r="B207" s="216"/>
      <c r="C207" s="442" t="s">
        <v>532</v>
      </c>
      <c r="D207" s="339"/>
      <c r="E207" s="314">
        <f>114438.73/24.723</f>
        <v>4628.836710755168</v>
      </c>
      <c r="F207" s="445"/>
      <c r="G207" s="437">
        <f>114438.73/24.723</f>
        <v>4628.836710755168</v>
      </c>
      <c r="H207" s="446" t="s">
        <v>523</v>
      </c>
      <c r="I207" s="212"/>
    </row>
    <row r="208" spans="2:9" ht="15">
      <c r="B208" s="216"/>
      <c r="C208" s="443"/>
      <c r="D208" s="339"/>
      <c r="E208" s="314">
        <f>358243.76/24.723</f>
        <v>14490.302956760912</v>
      </c>
      <c r="F208" s="445"/>
      <c r="G208" s="437"/>
      <c r="H208" s="447"/>
      <c r="I208" s="212"/>
    </row>
    <row r="209" spans="2:9" ht="15">
      <c r="B209" s="216"/>
      <c r="C209" s="443"/>
      <c r="D209" s="339"/>
      <c r="E209" s="314">
        <f>212537.25/24.723</f>
        <v>8596.741900254823</v>
      </c>
      <c r="F209" s="339"/>
      <c r="G209" s="310">
        <f>212537.25/24.723</f>
        <v>8596.741900254823</v>
      </c>
      <c r="H209" s="447"/>
      <c r="I209" s="212"/>
    </row>
    <row r="210" spans="2:9" ht="15">
      <c r="B210" s="216"/>
      <c r="C210" s="443"/>
      <c r="D210" s="339"/>
      <c r="E210" s="314">
        <f>164420/24.723</f>
        <v>6650.487400396392</v>
      </c>
      <c r="F210" s="445"/>
      <c r="G210" s="437">
        <f>164420/24.723</f>
        <v>6650.487400396392</v>
      </c>
      <c r="H210" s="447"/>
      <c r="I210" s="212"/>
    </row>
    <row r="211" spans="2:9" ht="15">
      <c r="B211" s="216"/>
      <c r="C211" s="443"/>
      <c r="D211" s="339"/>
      <c r="E211" s="314">
        <f>38808/24.723</f>
        <v>1569.7124135420459</v>
      </c>
      <c r="F211" s="445"/>
      <c r="G211" s="437"/>
      <c r="H211" s="447"/>
      <c r="I211" s="212"/>
    </row>
    <row r="212" spans="2:9" ht="15">
      <c r="B212" s="216"/>
      <c r="C212" s="443"/>
      <c r="D212" s="339"/>
      <c r="E212" s="314">
        <f>35280/24.723</f>
        <v>1427.0112850382236</v>
      </c>
      <c r="F212" s="339"/>
      <c r="G212" s="310">
        <f>35280/24.723</f>
        <v>1427.0112850382236</v>
      </c>
      <c r="H212" s="448"/>
      <c r="I212" s="212"/>
    </row>
    <row r="213" spans="2:9" ht="15">
      <c r="B213" s="216"/>
      <c r="C213" s="442" t="s">
        <v>533</v>
      </c>
      <c r="D213" s="339"/>
      <c r="E213" s="314">
        <f>78701.02/24.723</f>
        <v>3183.3118958055256</v>
      </c>
      <c r="F213" s="445"/>
      <c r="G213" s="437">
        <f>78701.02/24.723</f>
        <v>3183.3118958055256</v>
      </c>
      <c r="H213" s="446" t="s">
        <v>523</v>
      </c>
      <c r="I213" s="212"/>
    </row>
    <row r="214" spans="2:9" ht="15">
      <c r="B214" s="216"/>
      <c r="C214" s="443"/>
      <c r="D214" s="339"/>
      <c r="E214" s="314">
        <f>287739.79/24.723</f>
        <v>11638.546697407271</v>
      </c>
      <c r="F214" s="445"/>
      <c r="G214" s="437"/>
      <c r="H214" s="447"/>
      <c r="I214" s="212"/>
    </row>
    <row r="215" spans="2:9" ht="15">
      <c r="B215" s="216"/>
      <c r="C215" s="443"/>
      <c r="D215" s="339"/>
      <c r="E215" s="314">
        <f>97553.68/24.723</f>
        <v>3945.867410912915</v>
      </c>
      <c r="F215" s="445"/>
      <c r="G215" s="437">
        <f>181264.5/24.723</f>
        <v>7331.816527120495</v>
      </c>
      <c r="H215" s="447"/>
      <c r="I215" s="212"/>
    </row>
    <row r="216" spans="2:9" ht="15">
      <c r="B216" s="216"/>
      <c r="C216" s="443"/>
      <c r="D216" s="339"/>
      <c r="E216" s="314">
        <f>181264.5/24.723</f>
        <v>7331.816527120495</v>
      </c>
      <c r="F216" s="445"/>
      <c r="G216" s="437"/>
      <c r="H216" s="447"/>
      <c r="I216" s="212"/>
    </row>
    <row r="217" spans="2:9" ht="15">
      <c r="B217" s="216"/>
      <c r="C217" s="443"/>
      <c r="D217" s="339"/>
      <c r="E217" s="314">
        <f>129850/24.723</f>
        <v>5252.194312987906</v>
      </c>
      <c r="F217" s="339"/>
      <c r="G217" s="310">
        <f>129850/24.723</f>
        <v>5252.194312987906</v>
      </c>
      <c r="H217" s="447"/>
      <c r="I217" s="212"/>
    </row>
    <row r="218" spans="2:9" ht="15">
      <c r="B218" s="216"/>
      <c r="C218" s="443"/>
      <c r="D218" s="339"/>
      <c r="E218" s="314">
        <f>40572/24.723</f>
        <v>1641.062977793957</v>
      </c>
      <c r="F218" s="445"/>
      <c r="G218" s="437">
        <f>38808/24.723</f>
        <v>1569.7124135420459</v>
      </c>
      <c r="H218" s="447"/>
      <c r="I218" s="212"/>
    </row>
    <row r="219" spans="2:9" ht="15">
      <c r="B219" s="216"/>
      <c r="C219" s="443"/>
      <c r="D219" s="339"/>
      <c r="E219" s="314">
        <f>38808/24.723</f>
        <v>1569.7124135420459</v>
      </c>
      <c r="F219" s="445"/>
      <c r="G219" s="437"/>
      <c r="H219" s="448"/>
      <c r="I219" s="212"/>
    </row>
    <row r="220" spans="2:9" ht="21" customHeight="1">
      <c r="B220" s="216"/>
      <c r="C220" s="446" t="s">
        <v>536</v>
      </c>
      <c r="D220" s="311"/>
      <c r="E220" s="314">
        <f>3504342.21/23.545</f>
        <v>148835.940114674</v>
      </c>
      <c r="F220" s="438"/>
      <c r="G220" s="451">
        <v>104907.67</v>
      </c>
      <c r="H220" s="446" t="s">
        <v>524</v>
      </c>
      <c r="I220" s="212"/>
    </row>
    <row r="221" spans="2:9" ht="17.25" customHeight="1">
      <c r="B221" s="216"/>
      <c r="C221" s="447"/>
      <c r="D221" s="311"/>
      <c r="E221" s="314">
        <f>1346533.67/23.545</f>
        <v>57189.79273731152</v>
      </c>
      <c r="F221" s="438"/>
      <c r="G221" s="458"/>
      <c r="H221" s="447"/>
      <c r="I221" s="212"/>
    </row>
    <row r="222" spans="2:9" ht="15">
      <c r="B222" s="216"/>
      <c r="C222" s="447"/>
      <c r="D222" s="311"/>
      <c r="E222" s="314">
        <f>4114731.43/23.545</f>
        <v>174760.30707156507</v>
      </c>
      <c r="F222" s="438"/>
      <c r="G222" s="458"/>
      <c r="H222" s="447"/>
      <c r="I222" s="212"/>
    </row>
    <row r="223" spans="2:9" ht="15">
      <c r="B223" s="216"/>
      <c r="C223" s="447"/>
      <c r="D223" s="311"/>
      <c r="E223" s="314">
        <f>4975119.37/23.545</f>
        <v>211302.58526226375</v>
      </c>
      <c r="F223" s="438"/>
      <c r="G223" s="458"/>
      <c r="H223" s="447"/>
      <c r="I223" s="212"/>
    </row>
    <row r="224" spans="2:9" ht="15">
      <c r="B224" s="216"/>
      <c r="C224" s="448"/>
      <c r="D224" s="311"/>
      <c r="E224" s="314">
        <f>2301906.95/23.545</f>
        <v>97766.2752176683</v>
      </c>
      <c r="F224" s="438"/>
      <c r="G224" s="452"/>
      <c r="H224" s="448"/>
      <c r="I224" s="212"/>
    </row>
    <row r="225" spans="2:9" ht="15">
      <c r="B225" s="216"/>
      <c r="C225" s="446" t="s">
        <v>535</v>
      </c>
      <c r="D225" s="311"/>
      <c r="E225" s="314">
        <f>1350552.07/23.545</f>
        <v>57360.46166914419</v>
      </c>
      <c r="F225" s="438"/>
      <c r="G225" s="437">
        <v>2390.74</v>
      </c>
      <c r="H225" s="446" t="s">
        <v>523</v>
      </c>
      <c r="I225" s="212"/>
    </row>
    <row r="226" spans="2:9" ht="15">
      <c r="B226" s="216"/>
      <c r="C226" s="447"/>
      <c r="D226" s="311"/>
      <c r="E226" s="314">
        <f>291576.94/23.545</f>
        <v>12383.815672117222</v>
      </c>
      <c r="F226" s="438"/>
      <c r="G226" s="437"/>
      <c r="H226" s="447"/>
      <c r="I226" s="212"/>
    </row>
    <row r="227" spans="2:9" ht="15">
      <c r="B227" s="216"/>
      <c r="C227" s="447"/>
      <c r="D227" s="311"/>
      <c r="E227" s="314">
        <f>56278.09/23.545</f>
        <v>2390.235294117647</v>
      </c>
      <c r="F227" s="438"/>
      <c r="G227" s="437">
        <v>24253.96</v>
      </c>
      <c r="H227" s="447"/>
      <c r="I227" s="212"/>
    </row>
    <row r="228" spans="2:9" ht="28.5" customHeight="1">
      <c r="B228" s="216"/>
      <c r="C228" s="448"/>
      <c r="D228" s="311"/>
      <c r="E228" s="314">
        <f>635391.53/23.545</f>
        <v>26986.261626672327</v>
      </c>
      <c r="F228" s="438"/>
      <c r="G228" s="437"/>
      <c r="H228" s="448"/>
      <c r="I228" s="212"/>
    </row>
    <row r="229" spans="2:9" ht="15.75" customHeight="1">
      <c r="B229" s="216"/>
      <c r="C229" s="446" t="s">
        <v>534</v>
      </c>
      <c r="D229" s="311"/>
      <c r="E229" s="314">
        <f>2108985/23.545</f>
        <v>89572.5207050329</v>
      </c>
      <c r="F229" s="441"/>
      <c r="G229" s="437">
        <v>63000.07</v>
      </c>
      <c r="H229" s="438" t="s">
        <v>408</v>
      </c>
      <c r="I229" s="212"/>
    </row>
    <row r="230" spans="2:9" ht="15">
      <c r="B230" s="216"/>
      <c r="C230" s="447"/>
      <c r="D230" s="311"/>
      <c r="E230" s="314">
        <f>693005.51/23.545</f>
        <v>29433.23465703971</v>
      </c>
      <c r="F230" s="441"/>
      <c r="G230" s="437"/>
      <c r="H230" s="438"/>
      <c r="I230" s="212"/>
    </row>
    <row r="231" spans="2:9" ht="38.25" customHeight="1">
      <c r="B231" s="216"/>
      <c r="C231" s="447"/>
      <c r="D231" s="311"/>
      <c r="E231" s="314">
        <f>1511967.81/23.545</f>
        <v>64216.08876619239</v>
      </c>
      <c r="F231" s="441"/>
      <c r="G231" s="437"/>
      <c r="H231" s="438"/>
      <c r="I231" s="212"/>
    </row>
    <row r="232" spans="2:9" ht="15">
      <c r="B232" s="216"/>
      <c r="C232" s="446" t="s">
        <v>537</v>
      </c>
      <c r="D232" s="311"/>
      <c r="E232" s="314">
        <f>2626592.26/23.545</f>
        <v>111556.2650244213</v>
      </c>
      <c r="F232" s="438"/>
      <c r="G232" s="439">
        <f>58331.31/23.545</f>
        <v>2477.439371416436</v>
      </c>
      <c r="H232" s="446" t="s">
        <v>525</v>
      </c>
      <c r="I232" s="212"/>
    </row>
    <row r="233" spans="2:9" ht="15">
      <c r="B233" s="216"/>
      <c r="C233" s="447"/>
      <c r="D233" s="311"/>
      <c r="E233" s="314">
        <f>2007320.9/23.545</f>
        <v>85254.65703971118</v>
      </c>
      <c r="F233" s="438"/>
      <c r="G233" s="439"/>
      <c r="H233" s="447"/>
      <c r="I233" s="212"/>
    </row>
    <row r="234" spans="2:9" ht="15">
      <c r="B234" s="216"/>
      <c r="C234" s="447"/>
      <c r="D234" s="311"/>
      <c r="E234" s="314">
        <f>205081.56/23.545</f>
        <v>8710.195795285623</v>
      </c>
      <c r="F234" s="438"/>
      <c r="G234" s="437">
        <f>1159487.88/23.545</f>
        <v>49245.60968358462</v>
      </c>
      <c r="H234" s="447"/>
      <c r="I234" s="212"/>
    </row>
    <row r="235" spans="2:9" ht="15">
      <c r="B235" s="216"/>
      <c r="C235" s="447"/>
      <c r="D235" s="311"/>
      <c r="E235" s="314">
        <f>55470.45/23.545</f>
        <v>2355.9333191760456</v>
      </c>
      <c r="F235" s="438"/>
      <c r="G235" s="437"/>
      <c r="H235" s="447"/>
      <c r="I235" s="212"/>
    </row>
    <row r="236" spans="2:9" ht="15">
      <c r="B236" s="216"/>
      <c r="C236" s="447"/>
      <c r="D236" s="311"/>
      <c r="E236" s="314">
        <f>2008331.03/23.545</f>
        <v>85297.55914206838</v>
      </c>
      <c r="F236" s="459"/>
      <c r="G236" s="437">
        <f>543135.51/23.545</f>
        <v>23067.976640475685</v>
      </c>
      <c r="H236" s="447"/>
      <c r="I236" s="212"/>
    </row>
    <row r="237" spans="2:9" ht="15">
      <c r="B237" s="216"/>
      <c r="C237" s="448"/>
      <c r="D237" s="342"/>
      <c r="E237" s="310">
        <f>479299.5/23.545</f>
        <v>20356.742408154598</v>
      </c>
      <c r="F237" s="459"/>
      <c r="G237" s="437"/>
      <c r="H237" s="448"/>
      <c r="I237" s="212"/>
    </row>
    <row r="238" spans="2:9" ht="15">
      <c r="B238" s="216"/>
      <c r="C238" s="446" t="s">
        <v>538</v>
      </c>
      <c r="D238" s="342"/>
      <c r="E238" s="310">
        <f>49210/23.545</f>
        <v>2090.0403482692714</v>
      </c>
      <c r="F238" s="446"/>
      <c r="G238" s="460">
        <f>148243.01/23.545</f>
        <v>6296.156721172223</v>
      </c>
      <c r="H238" s="446" t="s">
        <v>526</v>
      </c>
      <c r="I238" s="212"/>
    </row>
    <row r="239" spans="2:9" ht="15">
      <c r="B239" s="216"/>
      <c r="C239" s="447"/>
      <c r="D239" s="342"/>
      <c r="E239" s="310">
        <f>280120.2/23.545</f>
        <v>11897.226587385856</v>
      </c>
      <c r="F239" s="447"/>
      <c r="G239" s="461"/>
      <c r="H239" s="447"/>
      <c r="I239" s="212"/>
    </row>
    <row r="240" spans="2:9" ht="15">
      <c r="B240" s="216"/>
      <c r="C240" s="448"/>
      <c r="D240" s="311"/>
      <c r="E240" s="310">
        <f>150866.78/23.545</f>
        <v>6407.5931195582925</v>
      </c>
      <c r="F240" s="448"/>
      <c r="G240" s="462"/>
      <c r="H240" s="448"/>
      <c r="I240" s="212"/>
    </row>
    <row r="241" spans="2:9" ht="15">
      <c r="B241" s="216"/>
      <c r="C241" s="446" t="s">
        <v>539</v>
      </c>
      <c r="D241" s="311"/>
      <c r="E241" s="310">
        <v>25200</v>
      </c>
      <c r="F241" s="438"/>
      <c r="G241" s="451">
        <f>449400/23.545</f>
        <v>19086.854958589935</v>
      </c>
      <c r="H241" s="438" t="s">
        <v>408</v>
      </c>
      <c r="I241" s="212"/>
    </row>
    <row r="242" spans="2:9" ht="15">
      <c r="B242" s="216"/>
      <c r="C242" s="447"/>
      <c r="D242" s="311"/>
      <c r="E242" s="310">
        <v>25200</v>
      </c>
      <c r="F242" s="438"/>
      <c r="G242" s="458"/>
      <c r="H242" s="438"/>
      <c r="I242" s="212"/>
    </row>
    <row r="243" spans="2:9" ht="15">
      <c r="B243" s="216"/>
      <c r="C243" s="448"/>
      <c r="D243" s="311"/>
      <c r="E243" s="310">
        <f>449400/23.545</f>
        <v>19086.854958589935</v>
      </c>
      <c r="F243" s="438"/>
      <c r="G243" s="452"/>
      <c r="H243" s="438"/>
      <c r="I243" s="212"/>
    </row>
    <row r="244" spans="2:9" ht="15">
      <c r="B244" s="216"/>
      <c r="C244" s="446" t="s">
        <v>540</v>
      </c>
      <c r="D244" s="311"/>
      <c r="E244" s="310">
        <f>715200/23.545</f>
        <v>30375.875982161815</v>
      </c>
      <c r="F244" s="459"/>
      <c r="G244" s="460">
        <v>25515.735825015927</v>
      </c>
      <c r="H244" s="438" t="s">
        <v>408</v>
      </c>
      <c r="I244" s="212"/>
    </row>
    <row r="245" spans="2:9" ht="15">
      <c r="B245" s="216"/>
      <c r="C245" s="447"/>
      <c r="D245" s="311"/>
      <c r="E245" s="310">
        <f>686592/23.545</f>
        <v>29160.840942875344</v>
      </c>
      <c r="F245" s="459"/>
      <c r="G245" s="461"/>
      <c r="H245" s="438"/>
      <c r="I245" s="212"/>
    </row>
    <row r="246" spans="2:9" ht="22.5" customHeight="1">
      <c r="B246" s="216"/>
      <c r="C246" s="448"/>
      <c r="D246" s="342"/>
      <c r="E246" s="310">
        <f>600768/23.545</f>
        <v>25515.735825015927</v>
      </c>
      <c r="F246" s="459"/>
      <c r="G246" s="462"/>
      <c r="H246" s="438"/>
      <c r="I246" s="212"/>
    </row>
    <row r="247" spans="2:9" ht="15">
      <c r="B247" s="216"/>
      <c r="C247" s="463" t="s">
        <v>541</v>
      </c>
      <c r="D247" s="342"/>
      <c r="E247" s="310">
        <v>17500</v>
      </c>
      <c r="F247" s="463"/>
      <c r="G247" s="451">
        <v>3200</v>
      </c>
      <c r="H247" s="446" t="s">
        <v>527</v>
      </c>
      <c r="I247" s="212"/>
    </row>
    <row r="248" spans="2:9" ht="15">
      <c r="B248" s="216"/>
      <c r="C248" s="464"/>
      <c r="D248" s="342"/>
      <c r="E248" s="310">
        <v>5500</v>
      </c>
      <c r="F248" s="464"/>
      <c r="G248" s="458"/>
      <c r="H248" s="447"/>
      <c r="I248" s="212"/>
    </row>
    <row r="249" spans="2:9" ht="15">
      <c r="B249" s="216"/>
      <c r="C249" s="465"/>
      <c r="D249" s="343"/>
      <c r="E249" s="310">
        <v>3200</v>
      </c>
      <c r="F249" s="465"/>
      <c r="G249" s="452"/>
      <c r="H249" s="448"/>
      <c r="I249" s="212"/>
    </row>
    <row r="250" spans="2:9" ht="15">
      <c r="B250" s="216"/>
      <c r="C250" s="463" t="s">
        <v>542</v>
      </c>
      <c r="D250" s="343"/>
      <c r="E250" s="310">
        <f>152000/23.545</f>
        <v>6455.723083457209</v>
      </c>
      <c r="F250" s="463"/>
      <c r="G250" s="451">
        <v>5745.11</v>
      </c>
      <c r="H250" s="438" t="s">
        <v>408</v>
      </c>
      <c r="I250" s="212"/>
    </row>
    <row r="251" spans="2:9" ht="15">
      <c r="B251" s="216"/>
      <c r="C251" s="464"/>
      <c r="D251" s="343"/>
      <c r="E251" s="310">
        <f>142000/23.545</f>
        <v>6031.004459545551</v>
      </c>
      <c r="F251" s="464"/>
      <c r="G251" s="458"/>
      <c r="H251" s="438"/>
      <c r="I251" s="212"/>
    </row>
    <row r="252" spans="2:9" ht="15">
      <c r="B252" s="216"/>
      <c r="C252" s="465"/>
      <c r="D252" s="343"/>
      <c r="E252" s="310">
        <v>5861.12</v>
      </c>
      <c r="F252" s="465"/>
      <c r="G252" s="452"/>
      <c r="H252" s="438"/>
      <c r="I252" s="212"/>
    </row>
    <row r="253" spans="2:9" ht="15">
      <c r="B253" s="216"/>
      <c r="C253" s="463" t="s">
        <v>543</v>
      </c>
      <c r="D253" s="343"/>
      <c r="E253" s="310">
        <f>332500/23.545</f>
        <v>14121.894245062645</v>
      </c>
      <c r="F253" s="463"/>
      <c r="G253" s="451">
        <f>323800/23.545</f>
        <v>13752.389042259501</v>
      </c>
      <c r="H253" s="438" t="s">
        <v>408</v>
      </c>
      <c r="I253" s="212"/>
    </row>
    <row r="254" spans="2:9" ht="15">
      <c r="B254" s="216"/>
      <c r="C254" s="464"/>
      <c r="D254" s="343"/>
      <c r="E254" s="310">
        <f>331200/23.545</f>
        <v>14066.68082395413</v>
      </c>
      <c r="F254" s="464"/>
      <c r="G254" s="458"/>
      <c r="H254" s="438"/>
      <c r="I254" s="212"/>
    </row>
    <row r="255" spans="2:9" ht="15">
      <c r="B255" s="216"/>
      <c r="C255" s="465"/>
      <c r="D255" s="343"/>
      <c r="E255" s="310">
        <f>323800/23.545</f>
        <v>13752.389042259501</v>
      </c>
      <c r="F255" s="465"/>
      <c r="G255" s="452"/>
      <c r="H255" s="438"/>
      <c r="I255" s="212"/>
    </row>
    <row r="256" spans="2:9" ht="15" customHeight="1">
      <c r="B256" s="216"/>
      <c r="C256" s="463" t="s">
        <v>543</v>
      </c>
      <c r="D256" s="343"/>
      <c r="E256" s="310">
        <f>488400/23.545</f>
        <v>20743.257591845402</v>
      </c>
      <c r="F256" s="463"/>
      <c r="G256" s="451">
        <f>417200/23.545</f>
        <v>17719.260989594393</v>
      </c>
      <c r="H256" s="438" t="s">
        <v>408</v>
      </c>
      <c r="I256" s="212"/>
    </row>
    <row r="257" spans="2:9" ht="15">
      <c r="B257" s="216"/>
      <c r="C257" s="464"/>
      <c r="D257" s="343"/>
      <c r="E257" s="310">
        <f>434400/23.545</f>
        <v>18449.777022722446</v>
      </c>
      <c r="F257" s="464"/>
      <c r="G257" s="458"/>
      <c r="H257" s="438"/>
      <c r="I257" s="212"/>
    </row>
    <row r="258" spans="2:9" ht="15">
      <c r="B258" s="216"/>
      <c r="C258" s="465"/>
      <c r="D258" s="343"/>
      <c r="E258" s="310">
        <f>417200/23.545</f>
        <v>17719.260989594393</v>
      </c>
      <c r="F258" s="465"/>
      <c r="G258" s="452"/>
      <c r="H258" s="438"/>
      <c r="I258" s="212"/>
    </row>
    <row r="259" spans="2:9" ht="15" customHeight="1">
      <c r="B259" s="216"/>
      <c r="C259" s="463" t="s">
        <v>543</v>
      </c>
      <c r="D259" s="343"/>
      <c r="E259" s="310">
        <f>222200/23.545</f>
        <v>9437.247823317051</v>
      </c>
      <c r="F259" s="463"/>
      <c r="G259" s="451">
        <f>215800/23.545</f>
        <v>9165.42790401359</v>
      </c>
      <c r="H259" s="438" t="s">
        <v>408</v>
      </c>
      <c r="I259" s="212"/>
    </row>
    <row r="260" spans="2:9" ht="15">
      <c r="B260" s="216"/>
      <c r="C260" s="464"/>
      <c r="D260" s="343"/>
      <c r="E260" s="310">
        <f>228200/23.545</f>
        <v>9692.078997664046</v>
      </c>
      <c r="F260" s="464"/>
      <c r="G260" s="458"/>
      <c r="H260" s="438"/>
      <c r="I260" s="212"/>
    </row>
    <row r="261" spans="2:9" ht="15">
      <c r="B261" s="216"/>
      <c r="C261" s="465"/>
      <c r="D261" s="343"/>
      <c r="E261" s="310">
        <f>215800/23.545</f>
        <v>9165.42790401359</v>
      </c>
      <c r="F261" s="465"/>
      <c r="G261" s="452"/>
      <c r="H261" s="438"/>
      <c r="I261" s="212"/>
    </row>
    <row r="262" spans="2:9" ht="25.5">
      <c r="B262" s="216"/>
      <c r="C262" s="344" t="s">
        <v>543</v>
      </c>
      <c r="D262" s="343"/>
      <c r="E262" s="310">
        <v>19337.3</v>
      </c>
      <c r="F262" s="343"/>
      <c r="G262" s="310">
        <v>19337.3</v>
      </c>
      <c r="H262" s="311" t="s">
        <v>408</v>
      </c>
      <c r="I262" s="212"/>
    </row>
    <row r="263" spans="2:9" ht="25.5">
      <c r="B263" s="216"/>
      <c r="C263" s="344" t="s">
        <v>543</v>
      </c>
      <c r="D263" s="343"/>
      <c r="E263" s="310">
        <v>16629.14</v>
      </c>
      <c r="F263" s="343"/>
      <c r="G263" s="310">
        <v>16629.14</v>
      </c>
      <c r="H263" s="311" t="s">
        <v>408</v>
      </c>
      <c r="I263" s="212"/>
    </row>
    <row r="264" spans="2:9" ht="15">
      <c r="B264" s="216"/>
      <c r="C264" s="463" t="s">
        <v>543</v>
      </c>
      <c r="D264" s="343"/>
      <c r="E264" s="310">
        <f>308400/23.545</f>
        <v>13098.322361435548</v>
      </c>
      <c r="F264" s="463"/>
      <c r="G264" s="451">
        <f>308400/23.545</f>
        <v>13098.322361435548</v>
      </c>
      <c r="H264" s="438" t="s">
        <v>408</v>
      </c>
      <c r="I264" s="212"/>
    </row>
    <row r="265" spans="2:9" ht="15">
      <c r="B265" s="216"/>
      <c r="C265" s="464"/>
      <c r="D265" s="345"/>
      <c r="E265" s="310">
        <f>350600/23.545</f>
        <v>14890.634954342748</v>
      </c>
      <c r="F265" s="464"/>
      <c r="G265" s="458"/>
      <c r="H265" s="438"/>
      <c r="I265" s="212"/>
    </row>
    <row r="266" spans="2:9" ht="15">
      <c r="B266" s="216"/>
      <c r="C266" s="465"/>
      <c r="D266" s="345"/>
      <c r="E266" s="310">
        <f>389150/23.545</f>
        <v>16527.92524952219</v>
      </c>
      <c r="F266" s="465"/>
      <c r="G266" s="452"/>
      <c r="H266" s="438"/>
      <c r="I266" s="212"/>
    </row>
    <row r="267" spans="2:9" ht="15">
      <c r="B267" s="216"/>
      <c r="C267" s="433" t="s">
        <v>366</v>
      </c>
      <c r="D267" s="434"/>
      <c r="E267" s="434"/>
      <c r="F267" s="434"/>
      <c r="G267" s="434"/>
      <c r="H267" s="435"/>
      <c r="I267" s="212"/>
    </row>
    <row r="268" spans="2:9" ht="15">
      <c r="B268" s="216"/>
      <c r="C268" s="442" t="s">
        <v>353</v>
      </c>
      <c r="D268" s="317"/>
      <c r="E268" s="314">
        <f>700*12</f>
        <v>8400</v>
      </c>
      <c r="F268" s="466"/>
      <c r="G268" s="451">
        <f>700*12</f>
        <v>8400</v>
      </c>
      <c r="H268" s="438" t="s">
        <v>432</v>
      </c>
      <c r="I268" s="212"/>
    </row>
    <row r="269" spans="2:9" ht="15">
      <c r="B269" s="216"/>
      <c r="C269" s="443"/>
      <c r="D269" s="317"/>
      <c r="E269" s="314">
        <f aca="true" t="shared" si="1" ref="E269:E293">700*12</f>
        <v>8400</v>
      </c>
      <c r="F269" s="467"/>
      <c r="G269" s="458"/>
      <c r="H269" s="438"/>
      <c r="I269" s="212"/>
    </row>
    <row r="270" spans="2:9" ht="27" customHeight="1">
      <c r="B270" s="216"/>
      <c r="C270" s="444"/>
      <c r="D270" s="317"/>
      <c r="E270" s="314">
        <f t="shared" si="1"/>
        <v>8400</v>
      </c>
      <c r="F270" s="468"/>
      <c r="G270" s="452"/>
      <c r="H270" s="438"/>
      <c r="I270" s="212"/>
    </row>
    <row r="271" spans="2:9" ht="15">
      <c r="B271" s="216"/>
      <c r="C271" s="442" t="s">
        <v>353</v>
      </c>
      <c r="D271" s="317"/>
      <c r="E271" s="314">
        <f t="shared" si="1"/>
        <v>8400</v>
      </c>
      <c r="F271" s="466"/>
      <c r="G271" s="451">
        <f aca="true" t="shared" si="2" ref="G271:G289">700*12</f>
        <v>8400</v>
      </c>
      <c r="H271" s="438" t="s">
        <v>432</v>
      </c>
      <c r="I271" s="212"/>
    </row>
    <row r="272" spans="2:9" ht="15">
      <c r="B272" s="216"/>
      <c r="C272" s="443"/>
      <c r="D272" s="317"/>
      <c r="E272" s="314">
        <f t="shared" si="1"/>
        <v>8400</v>
      </c>
      <c r="F272" s="467"/>
      <c r="G272" s="458">
        <f t="shared" si="2"/>
        <v>8400</v>
      </c>
      <c r="H272" s="438"/>
      <c r="I272" s="212"/>
    </row>
    <row r="273" spans="2:9" ht="15">
      <c r="B273" s="216"/>
      <c r="C273" s="444"/>
      <c r="D273" s="317"/>
      <c r="E273" s="314">
        <f t="shared" si="1"/>
        <v>8400</v>
      </c>
      <c r="F273" s="468"/>
      <c r="G273" s="452">
        <f t="shared" si="2"/>
        <v>8400</v>
      </c>
      <c r="H273" s="438"/>
      <c r="I273" s="212"/>
    </row>
    <row r="274" spans="2:9" ht="15">
      <c r="B274" s="216"/>
      <c r="C274" s="442" t="s">
        <v>353</v>
      </c>
      <c r="D274" s="317"/>
      <c r="E274" s="314">
        <f t="shared" si="1"/>
        <v>8400</v>
      </c>
      <c r="F274" s="466"/>
      <c r="G274" s="451">
        <f t="shared" si="2"/>
        <v>8400</v>
      </c>
      <c r="H274" s="438" t="s">
        <v>432</v>
      </c>
      <c r="I274" s="212"/>
    </row>
    <row r="275" spans="2:9" ht="15">
      <c r="B275" s="216"/>
      <c r="C275" s="443"/>
      <c r="D275" s="317"/>
      <c r="E275" s="314">
        <f t="shared" si="1"/>
        <v>8400</v>
      </c>
      <c r="F275" s="467"/>
      <c r="G275" s="458">
        <f t="shared" si="2"/>
        <v>8400</v>
      </c>
      <c r="H275" s="438"/>
      <c r="I275" s="212"/>
    </row>
    <row r="276" spans="2:9" ht="15">
      <c r="B276" s="216"/>
      <c r="C276" s="444"/>
      <c r="D276" s="317"/>
      <c r="E276" s="314">
        <f t="shared" si="1"/>
        <v>8400</v>
      </c>
      <c r="F276" s="468"/>
      <c r="G276" s="452">
        <f t="shared" si="2"/>
        <v>8400</v>
      </c>
      <c r="H276" s="438"/>
      <c r="I276" s="212"/>
    </row>
    <row r="277" spans="2:9" ht="15">
      <c r="B277" s="216"/>
      <c r="C277" s="442" t="s">
        <v>353</v>
      </c>
      <c r="D277" s="317"/>
      <c r="E277" s="314">
        <f t="shared" si="1"/>
        <v>8400</v>
      </c>
      <c r="F277" s="466"/>
      <c r="G277" s="451">
        <f t="shared" si="2"/>
        <v>8400</v>
      </c>
      <c r="H277" s="438" t="s">
        <v>432</v>
      </c>
      <c r="I277" s="212"/>
    </row>
    <row r="278" spans="2:9" ht="15">
      <c r="B278" s="216"/>
      <c r="C278" s="443"/>
      <c r="D278" s="317"/>
      <c r="E278" s="314">
        <f t="shared" si="1"/>
        <v>8400</v>
      </c>
      <c r="F278" s="467"/>
      <c r="G278" s="458">
        <f t="shared" si="2"/>
        <v>8400</v>
      </c>
      <c r="H278" s="438"/>
      <c r="I278" s="212"/>
    </row>
    <row r="279" spans="2:9" ht="15">
      <c r="B279" s="216"/>
      <c r="C279" s="444"/>
      <c r="D279" s="317"/>
      <c r="E279" s="314">
        <f t="shared" si="1"/>
        <v>8400</v>
      </c>
      <c r="F279" s="468"/>
      <c r="G279" s="452">
        <f t="shared" si="2"/>
        <v>8400</v>
      </c>
      <c r="H279" s="438"/>
      <c r="I279" s="212"/>
    </row>
    <row r="280" spans="2:9" ht="15">
      <c r="B280" s="216"/>
      <c r="C280" s="442" t="s">
        <v>353</v>
      </c>
      <c r="D280" s="318"/>
      <c r="E280" s="314">
        <f t="shared" si="1"/>
        <v>8400</v>
      </c>
      <c r="F280" s="466"/>
      <c r="G280" s="451">
        <f t="shared" si="2"/>
        <v>8400</v>
      </c>
      <c r="H280" s="438" t="s">
        <v>432</v>
      </c>
      <c r="I280" s="212"/>
    </row>
    <row r="281" spans="2:9" ht="15">
      <c r="B281" s="216"/>
      <c r="C281" s="443"/>
      <c r="D281" s="318"/>
      <c r="E281" s="314">
        <f t="shared" si="1"/>
        <v>8400</v>
      </c>
      <c r="F281" s="467"/>
      <c r="G281" s="458">
        <f t="shared" si="2"/>
        <v>8400</v>
      </c>
      <c r="H281" s="438"/>
      <c r="I281" s="212"/>
    </row>
    <row r="282" spans="2:9" ht="15">
      <c r="B282" s="216"/>
      <c r="C282" s="444"/>
      <c r="D282" s="318"/>
      <c r="E282" s="314">
        <f t="shared" si="1"/>
        <v>8400</v>
      </c>
      <c r="F282" s="468"/>
      <c r="G282" s="452">
        <f t="shared" si="2"/>
        <v>8400</v>
      </c>
      <c r="H282" s="438"/>
      <c r="I282" s="212"/>
    </row>
    <row r="283" spans="2:9" ht="15">
      <c r="B283" s="216"/>
      <c r="C283" s="442" t="s">
        <v>353</v>
      </c>
      <c r="D283" s="317"/>
      <c r="E283" s="314">
        <f t="shared" si="1"/>
        <v>8400</v>
      </c>
      <c r="F283" s="466"/>
      <c r="G283" s="451">
        <f t="shared" si="2"/>
        <v>8400</v>
      </c>
      <c r="H283" s="438" t="s">
        <v>432</v>
      </c>
      <c r="I283" s="212"/>
    </row>
    <row r="284" spans="2:9" ht="15">
      <c r="B284" s="216"/>
      <c r="C284" s="443"/>
      <c r="D284" s="317"/>
      <c r="E284" s="314">
        <f t="shared" si="1"/>
        <v>8400</v>
      </c>
      <c r="F284" s="467"/>
      <c r="G284" s="458">
        <f t="shared" si="2"/>
        <v>8400</v>
      </c>
      <c r="H284" s="438"/>
      <c r="I284" s="212"/>
    </row>
    <row r="285" spans="2:9" ht="15">
      <c r="B285" s="216"/>
      <c r="C285" s="444"/>
      <c r="D285" s="317"/>
      <c r="E285" s="314">
        <f t="shared" si="1"/>
        <v>8400</v>
      </c>
      <c r="F285" s="468"/>
      <c r="G285" s="452">
        <f t="shared" si="2"/>
        <v>8400</v>
      </c>
      <c r="H285" s="438"/>
      <c r="I285" s="212"/>
    </row>
    <row r="286" spans="2:9" ht="15">
      <c r="B286" s="216"/>
      <c r="C286" s="442" t="s">
        <v>353</v>
      </c>
      <c r="D286" s="317"/>
      <c r="E286" s="314">
        <f t="shared" si="1"/>
        <v>8400</v>
      </c>
      <c r="F286" s="466"/>
      <c r="G286" s="451">
        <f t="shared" si="2"/>
        <v>8400</v>
      </c>
      <c r="H286" s="438" t="s">
        <v>432</v>
      </c>
      <c r="I286" s="212"/>
    </row>
    <row r="287" spans="2:9" ht="15">
      <c r="B287" s="216"/>
      <c r="C287" s="443"/>
      <c r="D287" s="317"/>
      <c r="E287" s="314">
        <f t="shared" si="1"/>
        <v>8400</v>
      </c>
      <c r="F287" s="467"/>
      <c r="G287" s="458">
        <f t="shared" si="2"/>
        <v>8400</v>
      </c>
      <c r="H287" s="438"/>
      <c r="I287" s="212"/>
    </row>
    <row r="288" spans="2:9" ht="15">
      <c r="B288" s="216"/>
      <c r="C288" s="444"/>
      <c r="D288" s="317"/>
      <c r="E288" s="314">
        <f t="shared" si="1"/>
        <v>8400</v>
      </c>
      <c r="F288" s="468"/>
      <c r="G288" s="452">
        <f t="shared" si="2"/>
        <v>8400</v>
      </c>
      <c r="H288" s="438"/>
      <c r="I288" s="212"/>
    </row>
    <row r="289" spans="2:9" ht="15">
      <c r="B289" s="216"/>
      <c r="C289" s="442" t="s">
        <v>353</v>
      </c>
      <c r="D289" s="317"/>
      <c r="E289" s="314">
        <f t="shared" si="1"/>
        <v>8400</v>
      </c>
      <c r="F289" s="466"/>
      <c r="G289" s="451">
        <f t="shared" si="2"/>
        <v>8400</v>
      </c>
      <c r="H289" s="438" t="s">
        <v>432</v>
      </c>
      <c r="I289" s="212"/>
    </row>
    <row r="290" spans="2:9" ht="15">
      <c r="B290" s="216"/>
      <c r="C290" s="443"/>
      <c r="D290" s="317"/>
      <c r="E290" s="314">
        <f t="shared" si="1"/>
        <v>8400</v>
      </c>
      <c r="F290" s="467"/>
      <c r="G290" s="458"/>
      <c r="H290" s="438"/>
      <c r="I290" s="212"/>
    </row>
    <row r="291" spans="2:9" ht="15">
      <c r="B291" s="216"/>
      <c r="C291" s="444"/>
      <c r="D291" s="317"/>
      <c r="E291" s="314">
        <f t="shared" si="1"/>
        <v>8400</v>
      </c>
      <c r="F291" s="468"/>
      <c r="G291" s="452"/>
      <c r="H291" s="438"/>
      <c r="I291" s="212"/>
    </row>
    <row r="292" spans="2:9" ht="15">
      <c r="B292" s="216"/>
      <c r="C292" s="442" t="s">
        <v>353</v>
      </c>
      <c r="D292" s="317"/>
      <c r="E292" s="314">
        <f t="shared" si="1"/>
        <v>8400</v>
      </c>
      <c r="F292" s="466"/>
      <c r="G292" s="451">
        <f>700*12</f>
        <v>8400</v>
      </c>
      <c r="H292" s="438" t="s">
        <v>432</v>
      </c>
      <c r="I292" s="212"/>
    </row>
    <row r="293" spans="2:9" ht="15">
      <c r="B293" s="216"/>
      <c r="C293" s="443"/>
      <c r="D293" s="308"/>
      <c r="E293" s="314">
        <f t="shared" si="1"/>
        <v>8400</v>
      </c>
      <c r="F293" s="467"/>
      <c r="G293" s="458"/>
      <c r="H293" s="438"/>
      <c r="I293" s="212"/>
    </row>
    <row r="294" spans="2:9" ht="15">
      <c r="B294" s="216"/>
      <c r="C294" s="444"/>
      <c r="D294" s="308"/>
      <c r="E294" s="314">
        <f>700*12</f>
        <v>8400</v>
      </c>
      <c r="F294" s="468"/>
      <c r="G294" s="452"/>
      <c r="H294" s="438"/>
      <c r="I294" s="212"/>
    </row>
    <row r="295" spans="2:9" ht="15">
      <c r="B295" s="216"/>
      <c r="C295" s="442" t="s">
        <v>544</v>
      </c>
      <c r="D295" s="317"/>
      <c r="E295" s="319">
        <f>82500/24.53</f>
        <v>3363.228699551569</v>
      </c>
      <c r="F295" s="466"/>
      <c r="G295" s="469">
        <f>82500/24.53</f>
        <v>3363.228699551569</v>
      </c>
      <c r="H295" s="446" t="s">
        <v>577</v>
      </c>
      <c r="I295" s="212"/>
    </row>
    <row r="296" spans="2:9" ht="15">
      <c r="B296" s="216"/>
      <c r="C296" s="443"/>
      <c r="D296" s="317"/>
      <c r="E296" s="319">
        <f>70213/24.723</f>
        <v>2839.9870565869837</v>
      </c>
      <c r="F296" s="468"/>
      <c r="G296" s="470"/>
      <c r="H296" s="448"/>
      <c r="I296" s="212"/>
    </row>
    <row r="297" spans="2:9" ht="15">
      <c r="B297" s="216"/>
      <c r="C297" s="443"/>
      <c r="D297" s="317"/>
      <c r="E297" s="319">
        <f>225104.4/24.53</f>
        <v>9176.697920913168</v>
      </c>
      <c r="F297" s="466"/>
      <c r="G297" s="469">
        <f>225104.4/24.53</f>
        <v>9176.697920913168</v>
      </c>
      <c r="H297" s="446" t="s">
        <v>577</v>
      </c>
      <c r="I297" s="212"/>
    </row>
    <row r="298" spans="2:9" ht="15">
      <c r="B298" s="216"/>
      <c r="C298" s="443"/>
      <c r="D298" s="317"/>
      <c r="E298" s="319">
        <f>184125/24.723</f>
        <v>7447.518505035797</v>
      </c>
      <c r="F298" s="468"/>
      <c r="G298" s="470"/>
      <c r="H298" s="448"/>
      <c r="I298" s="212"/>
    </row>
    <row r="299" spans="2:9" ht="15">
      <c r="B299" s="216"/>
      <c r="C299" s="443"/>
      <c r="D299" s="317"/>
      <c r="E299" s="319">
        <f>13000/24.53</f>
        <v>529.9633102323685</v>
      </c>
      <c r="F299" s="317"/>
      <c r="G299" s="319">
        <f>13000/24.53</f>
        <v>529.9633102323685</v>
      </c>
      <c r="H299" s="446" t="s">
        <v>566</v>
      </c>
      <c r="I299" s="212"/>
    </row>
    <row r="300" spans="2:9" ht="15">
      <c r="B300" s="216"/>
      <c r="C300" s="443"/>
      <c r="D300" s="317"/>
      <c r="E300" s="319">
        <f>45000/24.53</f>
        <v>1834.4883815735832</v>
      </c>
      <c r="F300" s="317"/>
      <c r="G300" s="319">
        <f>45000/24.53</f>
        <v>1834.4883815735832</v>
      </c>
      <c r="H300" s="447"/>
      <c r="I300" s="212"/>
    </row>
    <row r="301" spans="2:9" ht="15">
      <c r="B301" s="216"/>
      <c r="C301" s="443"/>
      <c r="D301" s="317"/>
      <c r="E301" s="319">
        <f>56000/24.53</f>
        <v>2282.918874847126</v>
      </c>
      <c r="F301" s="317"/>
      <c r="G301" s="319">
        <f>56000/24.53</f>
        <v>2282.918874847126</v>
      </c>
      <c r="H301" s="447"/>
      <c r="I301" s="212"/>
    </row>
    <row r="302" spans="2:9" ht="15">
      <c r="B302" s="216"/>
      <c r="C302" s="443"/>
      <c r="D302" s="317"/>
      <c r="E302" s="319">
        <f>484000/24.723</f>
        <v>19576.912187032318</v>
      </c>
      <c r="F302" s="471"/>
      <c r="G302" s="472">
        <f>305647.5/24.53</f>
        <v>12460.150835711373</v>
      </c>
      <c r="H302" s="447"/>
      <c r="I302" s="212"/>
    </row>
    <row r="303" spans="2:9" ht="15">
      <c r="B303" s="216"/>
      <c r="C303" s="443"/>
      <c r="D303" s="317"/>
      <c r="E303" s="319">
        <f>305647.5/24.53</f>
        <v>12460.150835711373</v>
      </c>
      <c r="F303" s="471"/>
      <c r="G303" s="472"/>
      <c r="H303" s="447"/>
      <c r="I303" s="212"/>
    </row>
    <row r="304" spans="2:9" ht="15">
      <c r="B304" s="216"/>
      <c r="C304" s="443"/>
      <c r="D304" s="317"/>
      <c r="E304" s="319">
        <f>184125/24.53</f>
        <v>7506.114961271912</v>
      </c>
      <c r="F304" s="317"/>
      <c r="G304" s="319">
        <f>184125/24.53</f>
        <v>7506.114961271912</v>
      </c>
      <c r="H304" s="447"/>
      <c r="I304" s="212"/>
    </row>
    <row r="305" spans="2:9" ht="15">
      <c r="B305" s="216"/>
      <c r="C305" s="443"/>
      <c r="D305" s="317"/>
      <c r="E305" s="319">
        <f>122750/24.723</f>
        <v>4965.012336690531</v>
      </c>
      <c r="F305" s="471"/>
      <c r="G305" s="472">
        <f>88200/24.53</f>
        <v>3595.5972278842232</v>
      </c>
      <c r="H305" s="447"/>
      <c r="I305" s="212"/>
    </row>
    <row r="306" spans="2:9" ht="15">
      <c r="B306" s="216"/>
      <c r="C306" s="443"/>
      <c r="D306" s="317"/>
      <c r="E306" s="319">
        <f>88200/24.53</f>
        <v>3595.5972278842232</v>
      </c>
      <c r="F306" s="471"/>
      <c r="G306" s="472"/>
      <c r="H306" s="447"/>
      <c r="I306" s="212"/>
    </row>
    <row r="307" spans="2:9" ht="15">
      <c r="B307" s="216"/>
      <c r="C307" s="443"/>
      <c r="D307" s="317"/>
      <c r="E307" s="319">
        <f>20867.5/24.53</f>
        <v>850.69302894415</v>
      </c>
      <c r="F307" s="317"/>
      <c r="G307" s="319">
        <f>20867.5/24.53</f>
        <v>850.69302894415</v>
      </c>
      <c r="H307" s="448"/>
      <c r="I307" s="212"/>
    </row>
    <row r="308" spans="2:9" ht="15">
      <c r="B308" s="216"/>
      <c r="C308" s="442" t="s">
        <v>545</v>
      </c>
      <c r="D308" s="317"/>
      <c r="E308" s="314">
        <f>445500/24.723</f>
        <v>18019.657808518383</v>
      </c>
      <c r="F308" s="466"/>
      <c r="G308" s="451">
        <f>445500/24.723</f>
        <v>18019.657808518383</v>
      </c>
      <c r="H308" s="446" t="s">
        <v>566</v>
      </c>
      <c r="I308" s="212"/>
    </row>
    <row r="309" spans="2:9" ht="15">
      <c r="B309" s="216"/>
      <c r="C309" s="443"/>
      <c r="D309" s="317"/>
      <c r="E309" s="314">
        <f>185700/24.723</f>
        <v>7511.224365975003</v>
      </c>
      <c r="F309" s="468"/>
      <c r="G309" s="452"/>
      <c r="H309" s="447"/>
      <c r="I309" s="212"/>
    </row>
    <row r="310" spans="2:9" ht="15">
      <c r="B310" s="216"/>
      <c r="C310" s="443"/>
      <c r="D310" s="317"/>
      <c r="E310" s="314">
        <f>120000/24.723</f>
        <v>4853.779881082393</v>
      </c>
      <c r="F310" s="466"/>
      <c r="G310" s="451">
        <f>120000/24.723</f>
        <v>4853.779881082393</v>
      </c>
      <c r="H310" s="447"/>
      <c r="I310" s="212"/>
    </row>
    <row r="311" spans="2:9" ht="15">
      <c r="B311" s="216"/>
      <c r="C311" s="443"/>
      <c r="D311" s="317"/>
      <c r="E311" s="314">
        <f>325625/24.723</f>
        <v>13170.933948145452</v>
      </c>
      <c r="F311" s="467"/>
      <c r="G311" s="458"/>
      <c r="H311" s="447"/>
      <c r="I311" s="212"/>
    </row>
    <row r="312" spans="2:9" ht="15">
      <c r="B312" s="216"/>
      <c r="C312" s="443"/>
      <c r="D312" s="317"/>
      <c r="E312" s="314">
        <f>711300/24.723</f>
        <v>28770.780245115886</v>
      </c>
      <c r="F312" s="468"/>
      <c r="G312" s="452"/>
      <c r="H312" s="447"/>
      <c r="I312" s="212"/>
    </row>
    <row r="313" spans="2:9" ht="15">
      <c r="B313" s="216"/>
      <c r="C313" s="443"/>
      <c r="D313" s="317"/>
      <c r="E313" s="314">
        <f>300000/24.723</f>
        <v>12134.449702705982</v>
      </c>
      <c r="F313" s="317"/>
      <c r="G313" s="314">
        <f>300000/24.723</f>
        <v>12134.449702705982</v>
      </c>
      <c r="H313" s="447"/>
      <c r="I313" s="212"/>
    </row>
    <row r="314" spans="2:9" ht="15">
      <c r="B314" s="216"/>
      <c r="C314" s="443"/>
      <c r="D314" s="317"/>
      <c r="E314" s="314">
        <f>150000/24.723</f>
        <v>6067.224851352991</v>
      </c>
      <c r="F314" s="317"/>
      <c r="G314" s="314">
        <f>150000/24.723</f>
        <v>6067.224851352991</v>
      </c>
      <c r="H314" s="447"/>
      <c r="I314" s="212"/>
    </row>
    <row r="315" spans="2:9" ht="15">
      <c r="B315" s="216"/>
      <c r="C315" s="443"/>
      <c r="D315" s="317"/>
      <c r="E315" s="314">
        <f>85000/24.723</f>
        <v>3438.0940824333616</v>
      </c>
      <c r="F315" s="317"/>
      <c r="G315" s="314">
        <f>85000/24.723</f>
        <v>3438.0940824333616</v>
      </c>
      <c r="H315" s="448"/>
      <c r="I315" s="212"/>
    </row>
    <row r="316" spans="2:9" ht="15">
      <c r="B316" s="216"/>
      <c r="C316" s="442" t="s">
        <v>546</v>
      </c>
      <c r="D316" s="317"/>
      <c r="E316" s="314">
        <f>257100/24.723</f>
        <v>10399.223395219027</v>
      </c>
      <c r="F316" s="466"/>
      <c r="G316" s="451">
        <f>257100/24.723</f>
        <v>10399.223395219027</v>
      </c>
      <c r="H316" s="446" t="s">
        <v>566</v>
      </c>
      <c r="I316" s="212"/>
    </row>
    <row r="317" spans="2:9" ht="15">
      <c r="B317" s="216"/>
      <c r="C317" s="443"/>
      <c r="D317" s="317"/>
      <c r="E317" s="314">
        <f>154300/24.723</f>
        <v>6241.151963758444</v>
      </c>
      <c r="F317" s="468"/>
      <c r="G317" s="452"/>
      <c r="H317" s="447"/>
      <c r="I317" s="212"/>
    </row>
    <row r="318" spans="2:9" ht="15">
      <c r="B318" s="216"/>
      <c r="C318" s="443"/>
      <c r="D318" s="317"/>
      <c r="E318" s="314">
        <f>120000/24.723</f>
        <v>4853.779881082393</v>
      </c>
      <c r="F318" s="466"/>
      <c r="G318" s="451">
        <f>120000/24.723</f>
        <v>4853.779881082393</v>
      </c>
      <c r="H318" s="447"/>
      <c r="I318" s="212"/>
    </row>
    <row r="319" spans="2:9" ht="15">
      <c r="B319" s="216"/>
      <c r="C319" s="443"/>
      <c r="D319" s="317"/>
      <c r="E319" s="314">
        <f>230600/24.723</f>
        <v>9327.347004813331</v>
      </c>
      <c r="F319" s="467"/>
      <c r="G319" s="458"/>
      <c r="H319" s="447"/>
      <c r="I319" s="212"/>
    </row>
    <row r="320" spans="2:9" ht="15">
      <c r="B320" s="216"/>
      <c r="C320" s="443"/>
      <c r="D320" s="317"/>
      <c r="E320" s="314">
        <f>492700/24.723</f>
        <v>19928.811228410792</v>
      </c>
      <c r="F320" s="468"/>
      <c r="G320" s="452"/>
      <c r="H320" s="447"/>
      <c r="I320" s="212"/>
    </row>
    <row r="321" spans="2:9" ht="15">
      <c r="B321" s="216"/>
      <c r="C321" s="443"/>
      <c r="D321" s="317"/>
      <c r="E321" s="314">
        <f>150000/24.723</f>
        <v>6067.224851352991</v>
      </c>
      <c r="F321" s="317"/>
      <c r="G321" s="314">
        <f>150000/24.723</f>
        <v>6067.224851352991</v>
      </c>
      <c r="H321" s="447"/>
      <c r="I321" s="212"/>
    </row>
    <row r="322" spans="2:9" ht="15">
      <c r="B322" s="216"/>
      <c r="C322" s="443"/>
      <c r="D322" s="317"/>
      <c r="E322" s="314">
        <f>150000/24.723</f>
        <v>6067.224851352991</v>
      </c>
      <c r="F322" s="317"/>
      <c r="G322" s="314">
        <f>150000/24.723</f>
        <v>6067.224851352991</v>
      </c>
      <c r="H322" s="447"/>
      <c r="I322" s="212"/>
    </row>
    <row r="323" spans="2:9" ht="15">
      <c r="B323" s="216"/>
      <c r="C323" s="443"/>
      <c r="D323" s="317"/>
      <c r="E323" s="314">
        <f>85000/24.723</f>
        <v>3438.0940824333616</v>
      </c>
      <c r="F323" s="317"/>
      <c r="G323" s="314">
        <f>85000/24.723</f>
        <v>3438.0940824333616</v>
      </c>
      <c r="H323" s="448"/>
      <c r="I323" s="212"/>
    </row>
    <row r="324" spans="2:9" ht="15">
      <c r="B324" s="216"/>
      <c r="C324" s="471" t="s">
        <v>547</v>
      </c>
      <c r="D324" s="317"/>
      <c r="E324" s="314">
        <f>5360348.65/23.545</f>
        <v>227663.99023147166</v>
      </c>
      <c r="F324" s="466"/>
      <c r="G324" s="451">
        <f>2922485.66/23.545</f>
        <v>124123.40879167551</v>
      </c>
      <c r="H324" s="446" t="s">
        <v>408</v>
      </c>
      <c r="I324" s="212"/>
    </row>
    <row r="325" spans="2:9" ht="15">
      <c r="B325" s="216"/>
      <c r="C325" s="471"/>
      <c r="D325" s="317"/>
      <c r="E325" s="314">
        <f>3581281.09/23.545</f>
        <v>152103.67763856443</v>
      </c>
      <c r="F325" s="467"/>
      <c r="G325" s="458"/>
      <c r="H325" s="447"/>
      <c r="I325" s="212"/>
    </row>
    <row r="326" spans="2:9" ht="38.25" customHeight="1">
      <c r="B326" s="216"/>
      <c r="C326" s="471"/>
      <c r="D326" s="317"/>
      <c r="E326" s="314">
        <f>2922485.66/23.545</f>
        <v>124123.40879167551</v>
      </c>
      <c r="F326" s="468"/>
      <c r="G326" s="452"/>
      <c r="H326" s="448"/>
      <c r="I326" s="212"/>
    </row>
    <row r="327" spans="2:9" ht="15">
      <c r="B327" s="216"/>
      <c r="C327" s="442" t="s">
        <v>548</v>
      </c>
      <c r="D327" s="317"/>
      <c r="E327" s="314">
        <f>245000/23.545</f>
        <v>10405.606285835633</v>
      </c>
      <c r="F327" s="466"/>
      <c r="G327" s="451">
        <f>245000/23.545</f>
        <v>10405.606285835633</v>
      </c>
      <c r="H327" s="446" t="s">
        <v>567</v>
      </c>
      <c r="I327" s="212"/>
    </row>
    <row r="328" spans="2:9" ht="15">
      <c r="B328" s="216"/>
      <c r="C328" s="443"/>
      <c r="D328" s="317"/>
      <c r="E328" s="314">
        <f>298000/23.545</f>
        <v>12656.614992567424</v>
      </c>
      <c r="F328" s="468"/>
      <c r="G328" s="452"/>
      <c r="H328" s="447"/>
      <c r="I328" s="212"/>
    </row>
    <row r="329" spans="2:9" ht="15">
      <c r="B329" s="216"/>
      <c r="C329" s="443"/>
      <c r="D329" s="317"/>
      <c r="E329" s="314">
        <v>12840</v>
      </c>
      <c r="F329" s="466"/>
      <c r="G329" s="451">
        <f>230649.6/23.545</f>
        <v>9796.118071777448</v>
      </c>
      <c r="H329" s="447"/>
      <c r="I329" s="212"/>
    </row>
    <row r="330" spans="2:9" ht="15">
      <c r="B330" s="216"/>
      <c r="C330" s="443"/>
      <c r="D330" s="317"/>
      <c r="E330" s="314">
        <v>14311</v>
      </c>
      <c r="F330" s="468"/>
      <c r="G330" s="452"/>
      <c r="H330" s="447"/>
      <c r="I330" s="212"/>
    </row>
    <row r="331" spans="2:9" ht="15">
      <c r="B331" s="216"/>
      <c r="C331" s="443"/>
      <c r="D331" s="317"/>
      <c r="E331" s="314">
        <f>497550/23.545</f>
        <v>21131.87513272457</v>
      </c>
      <c r="F331" s="466"/>
      <c r="G331" s="451">
        <f>130050/23.545</f>
        <v>5523.465703971119</v>
      </c>
      <c r="H331" s="447"/>
      <c r="I331" s="212"/>
    </row>
    <row r="332" spans="2:9" ht="15">
      <c r="B332" s="216"/>
      <c r="C332" s="443"/>
      <c r="D332" s="317"/>
      <c r="E332" s="314">
        <f>275000/23.545</f>
        <v>11679.762157570609</v>
      </c>
      <c r="F332" s="468"/>
      <c r="G332" s="452"/>
      <c r="H332" s="447"/>
      <c r="I332" s="212"/>
    </row>
    <row r="333" spans="2:9" ht="15">
      <c r="B333" s="216"/>
      <c r="C333" s="443"/>
      <c r="D333" s="317"/>
      <c r="E333" s="314">
        <f>6300/23.545</f>
        <v>267.57273306434485</v>
      </c>
      <c r="F333" s="466"/>
      <c r="G333" s="451">
        <f>4500/23.545</f>
        <v>191.12338076024633</v>
      </c>
      <c r="H333" s="447"/>
      <c r="I333" s="212"/>
    </row>
    <row r="334" spans="2:9" ht="15">
      <c r="B334" s="216"/>
      <c r="C334" s="443"/>
      <c r="D334" s="311"/>
      <c r="E334" s="314">
        <v>800</v>
      </c>
      <c r="F334" s="468"/>
      <c r="G334" s="452"/>
      <c r="H334" s="447"/>
      <c r="I334" s="212"/>
    </row>
    <row r="335" spans="2:9" ht="15">
      <c r="B335" s="216"/>
      <c r="C335" s="444"/>
      <c r="D335" s="317"/>
      <c r="E335" s="314">
        <f>54000/23.545</f>
        <v>2293.480569122956</v>
      </c>
      <c r="F335" s="317"/>
      <c r="G335" s="314">
        <f>54000/23.545</f>
        <v>2293.480569122956</v>
      </c>
      <c r="H335" s="448"/>
      <c r="I335" s="212"/>
    </row>
    <row r="336" spans="2:9" ht="15">
      <c r="B336" s="216"/>
      <c r="C336" s="446" t="s">
        <v>549</v>
      </c>
      <c r="D336" s="317"/>
      <c r="E336" s="314">
        <f>520146.35/23.545</f>
        <v>22091.584200467187</v>
      </c>
      <c r="F336" s="466"/>
      <c r="G336" s="451">
        <v>21540.970482055636</v>
      </c>
      <c r="H336" s="446" t="s">
        <v>408</v>
      </c>
      <c r="I336" s="212"/>
    </row>
    <row r="337" spans="2:9" ht="15">
      <c r="B337" s="216"/>
      <c r="C337" s="447"/>
      <c r="D337" s="317"/>
      <c r="E337" s="314">
        <f>603370.94/23.545</f>
        <v>25626.287534508385</v>
      </c>
      <c r="F337" s="467"/>
      <c r="G337" s="458"/>
      <c r="H337" s="447"/>
      <c r="I337" s="212"/>
    </row>
    <row r="338" spans="2:9" ht="15">
      <c r="B338" s="216"/>
      <c r="C338" s="447"/>
      <c r="D338" s="317"/>
      <c r="E338" s="314">
        <f>529659.85/23.545</f>
        <v>22495.640263325546</v>
      </c>
      <c r="F338" s="467"/>
      <c r="G338" s="458"/>
      <c r="H338" s="447"/>
      <c r="I338" s="212"/>
    </row>
    <row r="339" spans="2:9" ht="15">
      <c r="B339" s="216"/>
      <c r="C339" s="448"/>
      <c r="D339" s="317"/>
      <c r="E339" s="314">
        <f>507182.15/23.545</f>
        <v>21540.970482055636</v>
      </c>
      <c r="F339" s="468"/>
      <c r="G339" s="452"/>
      <c r="H339" s="448"/>
      <c r="I339" s="212"/>
    </row>
    <row r="340" spans="2:9" ht="15">
      <c r="B340" s="216"/>
      <c r="C340" s="446" t="s">
        <v>550</v>
      </c>
      <c r="D340" s="317"/>
      <c r="E340" s="314">
        <f>360692.58/23.545</f>
        <v>15319.28562327458</v>
      </c>
      <c r="F340" s="466"/>
      <c r="G340" s="451">
        <f>257503.2/23.545</f>
        <v>10936.640475684859</v>
      </c>
      <c r="H340" s="446" t="s">
        <v>408</v>
      </c>
      <c r="I340" s="212"/>
    </row>
    <row r="341" spans="2:9" ht="15">
      <c r="B341" s="216"/>
      <c r="C341" s="447"/>
      <c r="D341" s="317"/>
      <c r="E341" s="314">
        <f>487779.78/23.545</f>
        <v>20716.915693353152</v>
      </c>
      <c r="F341" s="467"/>
      <c r="G341" s="458"/>
      <c r="H341" s="447"/>
      <c r="I341" s="212"/>
    </row>
    <row r="342" spans="2:9" ht="15">
      <c r="B342" s="216"/>
      <c r="C342" s="448"/>
      <c r="D342" s="317"/>
      <c r="E342" s="314">
        <f>257503.2/23.545</f>
        <v>10936.640475684859</v>
      </c>
      <c r="F342" s="468"/>
      <c r="G342" s="452"/>
      <c r="H342" s="448"/>
      <c r="I342" s="212"/>
    </row>
    <row r="343" spans="2:9" ht="15">
      <c r="B343" s="216"/>
      <c r="C343" s="446" t="s">
        <v>550</v>
      </c>
      <c r="D343" s="317"/>
      <c r="E343" s="314">
        <f>604185.18/23.545</f>
        <v>25660.86982374177</v>
      </c>
      <c r="F343" s="446"/>
      <c r="G343" s="451">
        <f>345712.98/23.545</f>
        <v>14683.07411339987</v>
      </c>
      <c r="H343" s="446" t="s">
        <v>408</v>
      </c>
      <c r="I343" s="212"/>
    </row>
    <row r="344" spans="2:9" ht="29.25" customHeight="1">
      <c r="B344" s="216"/>
      <c r="C344" s="448"/>
      <c r="D344" s="317"/>
      <c r="E344" s="314">
        <f>345712.98/23.545</f>
        <v>14683.07411339987</v>
      </c>
      <c r="F344" s="448"/>
      <c r="G344" s="452"/>
      <c r="H344" s="448"/>
      <c r="I344" s="212"/>
    </row>
    <row r="345" spans="2:9" ht="15">
      <c r="B345" s="216"/>
      <c r="C345" s="446" t="s">
        <v>549</v>
      </c>
      <c r="D345" s="317"/>
      <c r="E345" s="314">
        <f>1482831.35/23.545</f>
        <v>62978.60904650669</v>
      </c>
      <c r="F345" s="446"/>
      <c r="G345" s="469">
        <f>925740.55/23.545</f>
        <v>39317.92524952219</v>
      </c>
      <c r="H345" s="446" t="s">
        <v>408</v>
      </c>
      <c r="I345" s="212"/>
    </row>
    <row r="346" spans="2:9" ht="15">
      <c r="B346" s="216"/>
      <c r="C346" s="447"/>
      <c r="D346" s="317"/>
      <c r="E346" s="314">
        <f>1723975/23.545</f>
        <v>73220.42896581015</v>
      </c>
      <c r="F346" s="447"/>
      <c r="G346" s="473"/>
      <c r="H346" s="447"/>
      <c r="I346" s="212"/>
    </row>
    <row r="347" spans="2:9" ht="15">
      <c r="B347" s="216"/>
      <c r="C347" s="447"/>
      <c r="D347" s="317"/>
      <c r="E347" s="314">
        <f>1076103.27/23.545</f>
        <v>45704.11000212359</v>
      </c>
      <c r="F347" s="447"/>
      <c r="G347" s="473"/>
      <c r="H347" s="447"/>
      <c r="I347" s="212"/>
    </row>
    <row r="348" spans="2:9" ht="15">
      <c r="B348" s="216"/>
      <c r="C348" s="448"/>
      <c r="D348" s="311"/>
      <c r="E348" s="314">
        <f>923029.91/23.545</f>
        <v>39202.7993204502</v>
      </c>
      <c r="F348" s="448"/>
      <c r="G348" s="470"/>
      <c r="H348" s="448"/>
      <c r="I348" s="212"/>
    </row>
    <row r="349" spans="2:9" ht="15">
      <c r="B349" s="216"/>
      <c r="C349" s="446" t="s">
        <v>551</v>
      </c>
      <c r="D349" s="311"/>
      <c r="E349" s="314">
        <f>1165835.5/23.545</f>
        <v>49515.204926736034</v>
      </c>
      <c r="F349" s="446"/>
      <c r="G349" s="469">
        <f>619841.73/23.545</f>
        <v>26325.832660862176</v>
      </c>
      <c r="H349" s="446" t="s">
        <v>568</v>
      </c>
      <c r="I349" s="212"/>
    </row>
    <row r="350" spans="2:9" ht="15">
      <c r="B350" s="216"/>
      <c r="C350" s="447"/>
      <c r="D350" s="311"/>
      <c r="E350" s="314">
        <f>523733/23.545</f>
        <v>22243.915905712463</v>
      </c>
      <c r="F350" s="447"/>
      <c r="G350" s="473"/>
      <c r="H350" s="447"/>
      <c r="I350" s="212"/>
    </row>
    <row r="351" spans="2:9" ht="15">
      <c r="B351" s="216"/>
      <c r="C351" s="447"/>
      <c r="D351" s="311"/>
      <c r="E351" s="314">
        <f>599100/23.545</f>
        <v>25444.89275854746</v>
      </c>
      <c r="F351" s="447"/>
      <c r="G351" s="473"/>
      <c r="H351" s="447"/>
      <c r="I351" s="212"/>
    </row>
    <row r="352" spans="2:9" ht="15">
      <c r="B352" s="216"/>
      <c r="C352" s="447"/>
      <c r="D352" s="311"/>
      <c r="E352" s="314">
        <v>926089.25</v>
      </c>
      <c r="F352" s="447"/>
      <c r="G352" s="473"/>
      <c r="H352" s="447"/>
      <c r="I352" s="212"/>
    </row>
    <row r="353" spans="2:9" ht="15">
      <c r="B353" s="216"/>
      <c r="C353" s="448"/>
      <c r="D353" s="311"/>
      <c r="E353" s="314">
        <f>630812.38/23.545</f>
        <v>26791.77659800382</v>
      </c>
      <c r="F353" s="448"/>
      <c r="G353" s="470"/>
      <c r="H353" s="448"/>
      <c r="I353" s="212"/>
    </row>
    <row r="354" spans="2:9" ht="15">
      <c r="B354" s="216"/>
      <c r="C354" s="446" t="s">
        <v>552</v>
      </c>
      <c r="D354" s="311"/>
      <c r="E354" s="314">
        <f>377062/23.545</f>
        <v>16014.525376937778</v>
      </c>
      <c r="F354" s="446"/>
      <c r="G354" s="469">
        <f>1982652.91/23.545</f>
        <v>84206.96156296453</v>
      </c>
      <c r="H354" s="446" t="s">
        <v>568</v>
      </c>
      <c r="I354" s="212"/>
    </row>
    <row r="355" spans="2:9" ht="15">
      <c r="B355" s="216"/>
      <c r="C355" s="447"/>
      <c r="D355" s="311"/>
      <c r="E355" s="314">
        <f>2033536.61/23.545</f>
        <v>86368.0870673179</v>
      </c>
      <c r="F355" s="447"/>
      <c r="G355" s="473"/>
      <c r="H355" s="447"/>
      <c r="I355" s="212"/>
    </row>
    <row r="356" spans="2:9" ht="15">
      <c r="B356" s="216"/>
      <c r="C356" s="447"/>
      <c r="D356" s="311"/>
      <c r="E356" s="314">
        <f>2361995/23.545</f>
        <v>100318.32660862178</v>
      </c>
      <c r="F356" s="447"/>
      <c r="G356" s="473"/>
      <c r="H356" s="447"/>
      <c r="I356" s="212"/>
    </row>
    <row r="357" spans="2:9" ht="15">
      <c r="B357" s="216"/>
      <c r="C357" s="447"/>
      <c r="D357" s="311"/>
      <c r="E357" s="314">
        <f>2783860.5/23.545</f>
        <v>118235.74007220216</v>
      </c>
      <c r="F357" s="447"/>
      <c r="G357" s="473"/>
      <c r="H357" s="447"/>
      <c r="I357" s="212"/>
    </row>
    <row r="358" spans="2:9" ht="15">
      <c r="B358" s="216"/>
      <c r="C358" s="447"/>
      <c r="D358" s="311"/>
      <c r="E358" s="314">
        <f>3026085.28/23.545</f>
        <v>128523.47759609258</v>
      </c>
      <c r="F358" s="447"/>
      <c r="G358" s="473"/>
      <c r="H358" s="447"/>
      <c r="I358" s="212"/>
    </row>
    <row r="359" spans="2:9" ht="15">
      <c r="B359" s="216"/>
      <c r="C359" s="448"/>
      <c r="D359" s="311"/>
      <c r="E359" s="314">
        <f>2017744.12/23.545</f>
        <v>85697.35060522404</v>
      </c>
      <c r="F359" s="448"/>
      <c r="G359" s="470"/>
      <c r="H359" s="448"/>
      <c r="I359" s="212"/>
    </row>
    <row r="360" spans="2:9" ht="15">
      <c r="B360" s="216"/>
      <c r="C360" s="446" t="s">
        <v>549</v>
      </c>
      <c r="D360" s="311"/>
      <c r="E360" s="314">
        <f>1540088.36/23.545</f>
        <v>65410.4208961563</v>
      </c>
      <c r="F360" s="446"/>
      <c r="G360" s="469">
        <f>1099591.2/23.545</f>
        <v>46701.68613293692</v>
      </c>
      <c r="H360" s="438" t="s">
        <v>568</v>
      </c>
      <c r="I360" s="212"/>
    </row>
    <row r="361" spans="2:9" ht="15">
      <c r="B361" s="216"/>
      <c r="C361" s="447"/>
      <c r="D361" s="311"/>
      <c r="E361" s="314">
        <f>1141210.1/23.545</f>
        <v>48469.31832660862</v>
      </c>
      <c r="F361" s="447"/>
      <c r="G361" s="473"/>
      <c r="H361" s="438"/>
      <c r="I361" s="212"/>
    </row>
    <row r="362" spans="2:9" ht="15">
      <c r="B362" s="216"/>
      <c r="C362" s="448"/>
      <c r="D362" s="311"/>
      <c r="E362" s="314">
        <f>1092428.64/23.545</f>
        <v>46397.47887024845</v>
      </c>
      <c r="F362" s="448"/>
      <c r="G362" s="470"/>
      <c r="H362" s="438"/>
      <c r="I362" s="212"/>
    </row>
    <row r="363" spans="2:9" ht="15">
      <c r="B363" s="216"/>
      <c r="C363" s="446" t="s">
        <v>564</v>
      </c>
      <c r="D363" s="311"/>
      <c r="E363" s="314">
        <f>616372.16/23.545</f>
        <v>26178.473561265662</v>
      </c>
      <c r="F363" s="446"/>
      <c r="G363" s="469">
        <f>376863.77/23.545</f>
        <v>16006.106179655977</v>
      </c>
      <c r="H363" s="438" t="s">
        <v>568</v>
      </c>
      <c r="I363" s="212"/>
    </row>
    <row r="364" spans="2:9" ht="15">
      <c r="B364" s="216"/>
      <c r="C364" s="447"/>
      <c r="D364" s="311"/>
      <c r="E364" s="314">
        <f>119320/23.545</f>
        <v>5067.742620513909</v>
      </c>
      <c r="F364" s="447"/>
      <c r="G364" s="473"/>
      <c r="H364" s="438"/>
      <c r="I364" s="212"/>
    </row>
    <row r="365" spans="2:9" ht="15">
      <c r="B365" s="216"/>
      <c r="C365" s="448"/>
      <c r="D365" s="311"/>
      <c r="E365" s="314">
        <f>333507.76/23.545</f>
        <v>14164.695689105967</v>
      </c>
      <c r="F365" s="448"/>
      <c r="G365" s="470"/>
      <c r="H365" s="438"/>
      <c r="I365" s="212"/>
    </row>
    <row r="366" spans="2:9" ht="15">
      <c r="B366" s="216"/>
      <c r="C366" s="446" t="s">
        <v>554</v>
      </c>
      <c r="D366" s="311"/>
      <c r="E366" s="314">
        <f>676132.65/23.545</f>
        <v>28716.6128689743</v>
      </c>
      <c r="F366" s="446"/>
      <c r="G366" s="469">
        <f>594795.87/23.545</f>
        <v>25262.088341473773</v>
      </c>
      <c r="H366" s="446" t="s">
        <v>408</v>
      </c>
      <c r="I366" s="212"/>
    </row>
    <row r="367" spans="2:9" ht="15">
      <c r="B367" s="216"/>
      <c r="C367" s="447"/>
      <c r="D367" s="311"/>
      <c r="E367" s="314">
        <f>563496.54/23.545</f>
        <v>23932.747504778083</v>
      </c>
      <c r="F367" s="447"/>
      <c r="G367" s="473"/>
      <c r="H367" s="447"/>
      <c r="I367" s="212"/>
    </row>
    <row r="368" spans="2:9" ht="15">
      <c r="B368" s="216"/>
      <c r="C368" s="448"/>
      <c r="D368" s="311"/>
      <c r="E368" s="314">
        <f>526368.03/23.545</f>
        <v>22355.83053726906</v>
      </c>
      <c r="F368" s="448"/>
      <c r="G368" s="470"/>
      <c r="H368" s="448"/>
      <c r="I368" s="212"/>
    </row>
    <row r="369" spans="2:9" ht="15">
      <c r="B369" s="216"/>
      <c r="C369" s="463" t="s">
        <v>565</v>
      </c>
      <c r="D369" s="343"/>
      <c r="E369" s="314">
        <f>29944/23.545</f>
        <v>1271.7774474410703</v>
      </c>
      <c r="F369" s="463"/>
      <c r="G369" s="460">
        <v>1271.7774474410703</v>
      </c>
      <c r="H369" s="446" t="s">
        <v>408</v>
      </c>
      <c r="I369" s="212"/>
    </row>
    <row r="370" spans="2:9" ht="15">
      <c r="B370" s="216"/>
      <c r="C370" s="464"/>
      <c r="D370" s="343"/>
      <c r="E370" s="314">
        <f>36024/23.545</f>
        <v>1530.0063707793586</v>
      </c>
      <c r="F370" s="464"/>
      <c r="G370" s="461"/>
      <c r="H370" s="447"/>
      <c r="I370" s="212"/>
    </row>
    <row r="371" spans="2:9" ht="15">
      <c r="B371" s="216"/>
      <c r="C371" s="464"/>
      <c r="D371" s="343"/>
      <c r="E371" s="314">
        <f>45600/23.545</f>
        <v>1936.7169250371628</v>
      </c>
      <c r="F371" s="465"/>
      <c r="G371" s="462"/>
      <c r="H371" s="448"/>
      <c r="I371" s="212"/>
    </row>
    <row r="372" spans="2:9" ht="15">
      <c r="B372" s="216"/>
      <c r="C372" s="464"/>
      <c r="D372" s="343"/>
      <c r="E372" s="314">
        <f>42000/23.545</f>
        <v>1783.8182204289658</v>
      </c>
      <c r="F372" s="463"/>
      <c r="G372" s="460">
        <v>1783.8182204289658</v>
      </c>
      <c r="H372" s="446" t="s">
        <v>408</v>
      </c>
      <c r="I372" s="212"/>
    </row>
    <row r="373" spans="2:9" ht="15">
      <c r="B373" s="216"/>
      <c r="C373" s="464"/>
      <c r="D373" s="308"/>
      <c r="E373" s="314">
        <f>45000/23.545</f>
        <v>1911.2338076024632</v>
      </c>
      <c r="F373" s="464"/>
      <c r="G373" s="461"/>
      <c r="H373" s="447"/>
      <c r="I373" s="212"/>
    </row>
    <row r="374" spans="2:9" ht="15">
      <c r="B374" s="216"/>
      <c r="C374" s="465"/>
      <c r="D374" s="308"/>
      <c r="E374" s="314">
        <f>50000/23.545</f>
        <v>2123.5931195582925</v>
      </c>
      <c r="F374" s="465"/>
      <c r="G374" s="462"/>
      <c r="H374" s="448"/>
      <c r="I374" s="212"/>
    </row>
    <row r="375" spans="2:9" ht="15">
      <c r="B375" s="216"/>
      <c r="C375" s="436" t="s">
        <v>433</v>
      </c>
      <c r="D375" s="320"/>
      <c r="E375" s="321">
        <v>9600</v>
      </c>
      <c r="F375" s="438"/>
      <c r="G375" s="439">
        <v>9600</v>
      </c>
      <c r="H375" s="438" t="s">
        <v>410</v>
      </c>
      <c r="I375" s="212"/>
    </row>
    <row r="376" spans="2:9" ht="15">
      <c r="B376" s="216"/>
      <c r="C376" s="436"/>
      <c r="D376" s="320"/>
      <c r="E376" s="321">
        <v>9600</v>
      </c>
      <c r="F376" s="438"/>
      <c r="G376" s="439"/>
      <c r="H376" s="438"/>
      <c r="I376" s="212"/>
    </row>
    <row r="377" spans="2:9" ht="45" customHeight="1">
      <c r="B377" s="216"/>
      <c r="C377" s="436"/>
      <c r="D377" s="320"/>
      <c r="E377" s="321">
        <v>9600</v>
      </c>
      <c r="F377" s="438"/>
      <c r="G377" s="439"/>
      <c r="H377" s="438"/>
      <c r="I377" s="212"/>
    </row>
    <row r="378" spans="2:9" ht="15">
      <c r="B378" s="216"/>
      <c r="C378" s="436" t="s">
        <v>471</v>
      </c>
      <c r="D378" s="320"/>
      <c r="E378" s="321">
        <v>27000</v>
      </c>
      <c r="F378" s="438"/>
      <c r="G378" s="439">
        <v>27000</v>
      </c>
      <c r="H378" s="438" t="s">
        <v>409</v>
      </c>
      <c r="I378" s="212"/>
    </row>
    <row r="379" spans="2:9" ht="15">
      <c r="B379" s="216"/>
      <c r="C379" s="436"/>
      <c r="D379" s="320"/>
      <c r="E379" s="321">
        <v>27000</v>
      </c>
      <c r="F379" s="438"/>
      <c r="G379" s="439"/>
      <c r="H379" s="438"/>
      <c r="I379" s="212"/>
    </row>
    <row r="380" spans="2:9" ht="15">
      <c r="B380" s="216"/>
      <c r="C380" s="436"/>
      <c r="D380" s="320"/>
      <c r="E380" s="321">
        <v>27000</v>
      </c>
      <c r="F380" s="438"/>
      <c r="G380" s="439"/>
      <c r="H380" s="438"/>
      <c r="I380" s="212"/>
    </row>
    <row r="381" spans="2:9" ht="15">
      <c r="B381" s="216"/>
      <c r="C381" s="433" t="s">
        <v>368</v>
      </c>
      <c r="D381" s="434"/>
      <c r="E381" s="434"/>
      <c r="F381" s="434"/>
      <c r="G381" s="434"/>
      <c r="H381" s="435"/>
      <c r="I381" s="212"/>
    </row>
    <row r="382" spans="2:9" ht="15" customHeight="1">
      <c r="B382" s="216"/>
      <c r="C382" s="463" t="s">
        <v>555</v>
      </c>
      <c r="D382" s="346"/>
      <c r="E382" s="310">
        <v>30000</v>
      </c>
      <c r="F382" s="463"/>
      <c r="G382" s="451">
        <v>30000</v>
      </c>
      <c r="H382" s="446" t="s">
        <v>569</v>
      </c>
      <c r="I382" s="212"/>
    </row>
    <row r="383" spans="2:9" ht="15">
      <c r="B383" s="216"/>
      <c r="C383" s="465"/>
      <c r="D383" s="296"/>
      <c r="E383" s="310">
        <v>29524</v>
      </c>
      <c r="F383" s="464"/>
      <c r="G383" s="458"/>
      <c r="H383" s="448"/>
      <c r="I383" s="212"/>
    </row>
    <row r="384" spans="2:9" ht="15">
      <c r="B384" s="216"/>
      <c r="C384" s="436" t="s">
        <v>472</v>
      </c>
      <c r="D384" s="307"/>
      <c r="E384" s="312">
        <v>13200</v>
      </c>
      <c r="F384" s="474"/>
      <c r="G384" s="439">
        <v>13200</v>
      </c>
      <c r="H384" s="438" t="s">
        <v>434</v>
      </c>
      <c r="I384" s="212"/>
    </row>
    <row r="385" spans="2:9" ht="15">
      <c r="B385" s="216"/>
      <c r="C385" s="436"/>
      <c r="D385" s="307"/>
      <c r="E385" s="312">
        <v>13200</v>
      </c>
      <c r="F385" s="474"/>
      <c r="G385" s="439"/>
      <c r="H385" s="438"/>
      <c r="I385" s="212"/>
    </row>
    <row r="386" spans="2:9" ht="15">
      <c r="B386" s="216"/>
      <c r="C386" s="436"/>
      <c r="D386" s="307"/>
      <c r="E386" s="312">
        <v>13200</v>
      </c>
      <c r="F386" s="474"/>
      <c r="G386" s="439"/>
      <c r="H386" s="438"/>
      <c r="I386" s="212"/>
    </row>
    <row r="387" spans="2:9" ht="15">
      <c r="B387" s="216"/>
      <c r="C387" s="433" t="s">
        <v>369</v>
      </c>
      <c r="D387" s="434"/>
      <c r="E387" s="434"/>
      <c r="F387" s="434"/>
      <c r="G387" s="434"/>
      <c r="H387" s="435"/>
      <c r="I387" s="212"/>
    </row>
    <row r="388" spans="2:9" ht="15">
      <c r="B388" s="216"/>
      <c r="C388" s="436" t="s">
        <v>412</v>
      </c>
      <c r="D388" s="322"/>
      <c r="E388" s="312">
        <v>10800</v>
      </c>
      <c r="F388" s="438"/>
      <c r="G388" s="475">
        <v>10800</v>
      </c>
      <c r="H388" s="438" t="s">
        <v>410</v>
      </c>
      <c r="I388" s="212"/>
    </row>
    <row r="389" spans="2:9" ht="15">
      <c r="B389" s="216"/>
      <c r="C389" s="436"/>
      <c r="D389" s="322"/>
      <c r="E389" s="312">
        <v>10800</v>
      </c>
      <c r="F389" s="438"/>
      <c r="G389" s="475"/>
      <c r="H389" s="438"/>
      <c r="I389" s="212"/>
    </row>
    <row r="390" spans="2:9" ht="15">
      <c r="B390" s="216"/>
      <c r="C390" s="436"/>
      <c r="D390" s="322"/>
      <c r="E390" s="312">
        <v>10800</v>
      </c>
      <c r="F390" s="438"/>
      <c r="G390" s="475"/>
      <c r="H390" s="438"/>
      <c r="I390" s="212"/>
    </row>
    <row r="391" spans="2:9" ht="15">
      <c r="B391" s="216"/>
      <c r="C391" s="436" t="s">
        <v>413</v>
      </c>
      <c r="D391" s="322"/>
      <c r="E391" s="312">
        <v>7200</v>
      </c>
      <c r="F391" s="440"/>
      <c r="G391" s="475">
        <v>7200</v>
      </c>
      <c r="H391" s="438" t="s">
        <v>410</v>
      </c>
      <c r="I391" s="212"/>
    </row>
    <row r="392" spans="2:9" ht="15">
      <c r="B392" s="216"/>
      <c r="C392" s="436"/>
      <c r="D392" s="322"/>
      <c r="E392" s="312">
        <v>7200</v>
      </c>
      <c r="F392" s="440"/>
      <c r="G392" s="475"/>
      <c r="H392" s="438"/>
      <c r="I392" s="212"/>
    </row>
    <row r="393" spans="2:9" ht="15">
      <c r="B393" s="216"/>
      <c r="C393" s="436"/>
      <c r="D393" s="322"/>
      <c r="E393" s="312">
        <v>7200</v>
      </c>
      <c r="F393" s="440"/>
      <c r="G393" s="475"/>
      <c r="H393" s="438"/>
      <c r="I393" s="212"/>
    </row>
    <row r="394" spans="2:9" ht="15">
      <c r="B394" s="216"/>
      <c r="C394" s="436"/>
      <c r="D394" s="322"/>
      <c r="E394" s="312">
        <v>7200</v>
      </c>
      <c r="F394" s="440"/>
      <c r="G394" s="475"/>
      <c r="H394" s="438"/>
      <c r="I394" s="212"/>
    </row>
    <row r="395" spans="2:9" ht="15">
      <c r="B395" s="216"/>
      <c r="C395" s="436" t="s">
        <v>414</v>
      </c>
      <c r="D395" s="296"/>
      <c r="E395" s="312">
        <v>15600</v>
      </c>
      <c r="F395" s="441"/>
      <c r="G395" s="439">
        <v>15600</v>
      </c>
      <c r="H395" s="438" t="s">
        <v>411</v>
      </c>
      <c r="I395" s="212"/>
    </row>
    <row r="396" spans="2:9" ht="15">
      <c r="B396" s="216"/>
      <c r="C396" s="436"/>
      <c r="D396" s="296"/>
      <c r="E396" s="312">
        <v>15600</v>
      </c>
      <c r="F396" s="441"/>
      <c r="G396" s="439"/>
      <c r="H396" s="438"/>
      <c r="I396" s="212"/>
    </row>
    <row r="397" spans="2:9" ht="15">
      <c r="B397" s="216"/>
      <c r="C397" s="436"/>
      <c r="D397" s="296"/>
      <c r="E397" s="312">
        <v>15600</v>
      </c>
      <c r="F397" s="441"/>
      <c r="G397" s="439"/>
      <c r="H397" s="438"/>
      <c r="I397" s="212"/>
    </row>
    <row r="398" spans="2:9" ht="15">
      <c r="B398" s="216"/>
      <c r="C398" s="436" t="s">
        <v>415</v>
      </c>
      <c r="D398" s="296"/>
      <c r="E398" s="312">
        <v>80000</v>
      </c>
      <c r="F398" s="441"/>
      <c r="G398" s="439">
        <v>80000</v>
      </c>
      <c r="H398" s="438" t="s">
        <v>411</v>
      </c>
      <c r="I398" s="212"/>
    </row>
    <row r="399" spans="2:9" ht="15">
      <c r="B399" s="216"/>
      <c r="C399" s="436"/>
      <c r="D399" s="296"/>
      <c r="E399" s="312">
        <v>80000</v>
      </c>
      <c r="F399" s="441"/>
      <c r="G399" s="439"/>
      <c r="H399" s="438"/>
      <c r="I399" s="212"/>
    </row>
    <row r="400" spans="2:9" ht="15">
      <c r="B400" s="216"/>
      <c r="C400" s="436"/>
      <c r="D400" s="296"/>
      <c r="E400" s="312">
        <v>80000</v>
      </c>
      <c r="F400" s="441"/>
      <c r="G400" s="439"/>
      <c r="H400" s="438"/>
      <c r="I400" s="212"/>
    </row>
    <row r="401" spans="2:9" ht="15">
      <c r="B401" s="216"/>
      <c r="C401" s="442" t="s">
        <v>556</v>
      </c>
      <c r="D401" s="317"/>
      <c r="E401" s="312">
        <f>78362/24.723</f>
        <v>3169.5991586781543</v>
      </c>
      <c r="F401" s="466"/>
      <c r="G401" s="476">
        <f>5997/24.723</f>
        <v>242.5676495570926</v>
      </c>
      <c r="H401" s="446" t="s">
        <v>572</v>
      </c>
      <c r="I401" s="212"/>
    </row>
    <row r="402" spans="2:9" ht="15">
      <c r="B402" s="216"/>
      <c r="C402" s="443"/>
      <c r="D402" s="317"/>
      <c r="E402" s="312">
        <f>109019.7/24.723</f>
        <v>4409.646887513652</v>
      </c>
      <c r="F402" s="468"/>
      <c r="G402" s="477"/>
      <c r="H402" s="447"/>
      <c r="I402" s="212"/>
    </row>
    <row r="403" spans="2:9" ht="15">
      <c r="B403" s="216"/>
      <c r="C403" s="443"/>
      <c r="D403" s="317"/>
      <c r="E403" s="312">
        <f>93480/24.723</f>
        <v>3781.094527363184</v>
      </c>
      <c r="F403" s="466"/>
      <c r="G403" s="476">
        <f>19800/24.723</f>
        <v>800.8736803785948</v>
      </c>
      <c r="H403" s="447"/>
      <c r="I403" s="212"/>
    </row>
    <row r="404" spans="2:9" ht="15">
      <c r="B404" s="216"/>
      <c r="C404" s="443"/>
      <c r="D404" s="317"/>
      <c r="E404" s="312">
        <f>45753.29/24.723</f>
        <v>1850.6366541277355</v>
      </c>
      <c r="F404" s="467"/>
      <c r="G404" s="478"/>
      <c r="H404" s="447"/>
      <c r="I404" s="212"/>
    </row>
    <row r="405" spans="2:9" ht="15">
      <c r="B405" s="216"/>
      <c r="C405" s="443"/>
      <c r="D405" s="317"/>
      <c r="E405" s="312">
        <f>41306.73/24.723</f>
        <v>1670.7814585608544</v>
      </c>
      <c r="F405" s="468"/>
      <c r="G405" s="477"/>
      <c r="H405" s="447"/>
      <c r="I405" s="212"/>
    </row>
    <row r="406" spans="2:9" ht="15">
      <c r="B406" s="216"/>
      <c r="C406" s="443"/>
      <c r="D406" s="317"/>
      <c r="E406" s="312">
        <f>103945.28/24.723</f>
        <v>4204.395906645634</v>
      </c>
      <c r="F406" s="466"/>
      <c r="G406" s="476">
        <f>58831.04/24.723</f>
        <v>2379.607652792946</v>
      </c>
      <c r="H406" s="447"/>
      <c r="I406" s="212"/>
    </row>
    <row r="407" spans="2:9" ht="15">
      <c r="B407" s="216"/>
      <c r="C407" s="444"/>
      <c r="D407" s="317"/>
      <c r="E407" s="312">
        <f>86212.5/24.723</f>
        <v>3487.1374833151317</v>
      </c>
      <c r="F407" s="468"/>
      <c r="G407" s="477"/>
      <c r="H407" s="448"/>
      <c r="I407" s="212"/>
    </row>
    <row r="408" spans="2:9" ht="15">
      <c r="B408" s="216"/>
      <c r="C408" s="442" t="s">
        <v>557</v>
      </c>
      <c r="D408" s="317"/>
      <c r="E408" s="312">
        <f>77585/24.723</f>
        <v>3138.1709339481454</v>
      </c>
      <c r="F408" s="317"/>
      <c r="G408" s="359">
        <f>62813.36/24.723</f>
        <v>2540.6851919265464</v>
      </c>
      <c r="H408" s="438" t="s">
        <v>571</v>
      </c>
      <c r="I408" s="212"/>
    </row>
    <row r="409" spans="2:9" ht="15">
      <c r="B409" s="216"/>
      <c r="C409" s="443"/>
      <c r="D409" s="317"/>
      <c r="E409" s="312">
        <f>36194/24.723</f>
        <v>1463.9809084658011</v>
      </c>
      <c r="F409" s="471"/>
      <c r="G409" s="479">
        <f>5088.84/24.723</f>
        <v>205.83424341706106</v>
      </c>
      <c r="H409" s="438"/>
      <c r="I409" s="212"/>
    </row>
    <row r="410" spans="2:9" ht="15">
      <c r="B410" s="216"/>
      <c r="C410" s="443"/>
      <c r="D410" s="317"/>
      <c r="E410" s="312">
        <f>24541.16/24.723</f>
        <v>992.6449055535331</v>
      </c>
      <c r="F410" s="471"/>
      <c r="G410" s="479"/>
      <c r="H410" s="438"/>
      <c r="I410" s="212"/>
    </row>
    <row r="411" spans="2:9" ht="15">
      <c r="B411" s="216"/>
      <c r="C411" s="443"/>
      <c r="D411" s="317"/>
      <c r="E411" s="312">
        <f>39946.4/24.723</f>
        <v>1615.7586053472476</v>
      </c>
      <c r="F411" s="471"/>
      <c r="G411" s="479">
        <f>8745.99/24.723</f>
        <v>353.75925251789835</v>
      </c>
      <c r="H411" s="438"/>
      <c r="I411" s="212"/>
    </row>
    <row r="412" spans="2:9" ht="15">
      <c r="B412" s="216"/>
      <c r="C412" s="444"/>
      <c r="D412" s="317"/>
      <c r="E412" s="312">
        <f>84001/24.723</f>
        <v>3397.686364923351</v>
      </c>
      <c r="F412" s="471"/>
      <c r="G412" s="479"/>
      <c r="H412" s="438"/>
      <c r="I412" s="212"/>
    </row>
    <row r="413" spans="2:9" ht="15">
      <c r="B413" s="216"/>
      <c r="C413" s="480" t="s">
        <v>558</v>
      </c>
      <c r="D413" s="317"/>
      <c r="E413" s="312">
        <f>98208.9/24.723</f>
        <v>3972.3698580269383</v>
      </c>
      <c r="F413" s="466"/>
      <c r="G413" s="483">
        <f>89579.74/24.723</f>
        <v>3623.336164704931</v>
      </c>
      <c r="H413" s="438" t="s">
        <v>408</v>
      </c>
      <c r="I413" s="212"/>
    </row>
    <row r="414" spans="2:9" ht="15">
      <c r="B414" s="216"/>
      <c r="C414" s="481"/>
      <c r="D414" s="317"/>
      <c r="E414" s="312">
        <f>52272.9/24.723</f>
        <v>2114.3429195485987</v>
      </c>
      <c r="F414" s="467"/>
      <c r="G414" s="484"/>
      <c r="H414" s="438"/>
      <c r="I414" s="212"/>
    </row>
    <row r="415" spans="2:9" ht="15">
      <c r="B415" s="216"/>
      <c r="C415" s="481"/>
      <c r="D415" s="317"/>
      <c r="E415" s="312">
        <f>61980.8/24.723</f>
        <v>2507.0096671115966</v>
      </c>
      <c r="F415" s="467"/>
      <c r="G415" s="484"/>
      <c r="H415" s="438"/>
      <c r="I415" s="212"/>
    </row>
    <row r="416" spans="2:9" ht="15">
      <c r="B416" s="216"/>
      <c r="C416" s="481"/>
      <c r="D416" s="317"/>
      <c r="E416" s="312">
        <f>68819.31/24.723</f>
        <v>2783.614852566436</v>
      </c>
      <c r="F416" s="467"/>
      <c r="G416" s="484"/>
      <c r="H416" s="438"/>
      <c r="I416" s="212"/>
    </row>
    <row r="417" spans="2:9" ht="15">
      <c r="B417" s="216"/>
      <c r="C417" s="482"/>
      <c r="D417" s="317"/>
      <c r="E417" s="310">
        <f>89579.74/24.723</f>
        <v>3623.336164704931</v>
      </c>
      <c r="F417" s="468"/>
      <c r="G417" s="485"/>
      <c r="H417" s="438"/>
      <c r="I417" s="212"/>
    </row>
    <row r="418" spans="2:9" ht="15">
      <c r="B418" s="216"/>
      <c r="C418" s="442" t="s">
        <v>559</v>
      </c>
      <c r="D418" s="317"/>
      <c r="E418" s="310">
        <f>42839.67/24.723</f>
        <v>1732.7860696517414</v>
      </c>
      <c r="F418" s="317"/>
      <c r="G418" s="360">
        <f>30238.25/24.723</f>
        <v>1223.0817457428307</v>
      </c>
      <c r="H418" s="446" t="s">
        <v>573</v>
      </c>
      <c r="I418" s="212"/>
    </row>
    <row r="419" spans="2:9" ht="15">
      <c r="B419" s="216"/>
      <c r="C419" s="443"/>
      <c r="D419" s="317"/>
      <c r="E419" s="310">
        <f>2415/24.723</f>
        <v>97.68232010678317</v>
      </c>
      <c r="F419" s="317"/>
      <c r="G419" s="360">
        <f>2394/24.723</f>
        <v>96.83290862759374</v>
      </c>
      <c r="H419" s="447"/>
      <c r="I419" s="212"/>
    </row>
    <row r="420" spans="2:9" ht="15">
      <c r="B420" s="216"/>
      <c r="C420" s="443"/>
      <c r="D420" s="317"/>
      <c r="E420" s="310">
        <f>43717.54/24.723</f>
        <v>1768.2943008534564</v>
      </c>
      <c r="F420" s="317"/>
      <c r="G420" s="360">
        <f>14135.56/24.723</f>
        <v>571.7574727986085</v>
      </c>
      <c r="H420" s="447"/>
      <c r="I420" s="212"/>
    </row>
    <row r="421" spans="2:9" ht="15">
      <c r="B421" s="216"/>
      <c r="C421" s="443"/>
      <c r="D421" s="317"/>
      <c r="E421" s="310">
        <f>105921.67/24.723</f>
        <v>4284.337256805404</v>
      </c>
      <c r="F421" s="317"/>
      <c r="G421" s="360">
        <f>16770.33/24.723</f>
        <v>678.3290862759375</v>
      </c>
      <c r="H421" s="447"/>
      <c r="I421" s="212"/>
    </row>
    <row r="422" spans="2:9" ht="15">
      <c r="B422" s="216"/>
      <c r="C422" s="443"/>
      <c r="D422" s="317"/>
      <c r="E422" s="310">
        <f>37534.89/24.723</f>
        <v>1518.2174493386726</v>
      </c>
      <c r="F422" s="317"/>
      <c r="G422" s="360">
        <f>10980.2/24.723</f>
        <v>444.12894875217415</v>
      </c>
      <c r="H422" s="447"/>
      <c r="I422" s="212"/>
    </row>
    <row r="423" spans="2:9" ht="15">
      <c r="B423" s="216"/>
      <c r="C423" s="443"/>
      <c r="D423" s="317"/>
      <c r="E423" s="310">
        <f>59243.07/24.723</f>
        <v>2396.273510496299</v>
      </c>
      <c r="F423" s="466"/>
      <c r="G423" s="476">
        <f>11409.28/24.723</f>
        <v>461.48444768029776</v>
      </c>
      <c r="H423" s="447"/>
      <c r="I423" s="212"/>
    </row>
    <row r="424" spans="2:9" ht="15">
      <c r="B424" s="216"/>
      <c r="C424" s="443"/>
      <c r="D424" s="317"/>
      <c r="E424" s="310">
        <f>113000.76/24.723</f>
        <v>4570.6734619585</v>
      </c>
      <c r="F424" s="468"/>
      <c r="G424" s="477"/>
      <c r="H424" s="448"/>
      <c r="I424" s="212"/>
    </row>
    <row r="425" spans="2:9" ht="15">
      <c r="B425" s="216"/>
      <c r="C425" s="442" t="s">
        <v>560</v>
      </c>
      <c r="D425" s="317"/>
      <c r="E425" s="310">
        <f>990564/24.723</f>
        <v>40066.49678437083</v>
      </c>
      <c r="F425" s="466"/>
      <c r="G425" s="451">
        <f>686425.35/24.723</f>
        <v>27764.646280791167</v>
      </c>
      <c r="H425" s="438" t="s">
        <v>408</v>
      </c>
      <c r="I425" s="212"/>
    </row>
    <row r="426" spans="2:9" ht="15">
      <c r="B426" s="216"/>
      <c r="C426" s="443"/>
      <c r="D426" s="317"/>
      <c r="E426" s="310">
        <f>798746.5/24.723</f>
        <v>32307.830764874816</v>
      </c>
      <c r="F426" s="467"/>
      <c r="G426" s="458"/>
      <c r="H426" s="438"/>
      <c r="I426" s="212"/>
    </row>
    <row r="427" spans="2:9" ht="15">
      <c r="B427" s="216"/>
      <c r="C427" s="443"/>
      <c r="D427" s="317"/>
      <c r="E427" s="310">
        <f>476318.5/24.723</f>
        <v>19266.20960239453</v>
      </c>
      <c r="F427" s="467"/>
      <c r="G427" s="458"/>
      <c r="H427" s="438"/>
      <c r="I427" s="212"/>
    </row>
    <row r="428" spans="2:9" ht="15">
      <c r="B428" s="216"/>
      <c r="C428" s="443"/>
      <c r="D428" s="317"/>
      <c r="E428" s="310">
        <f>463871.46/24.723</f>
        <v>18762.749666302636</v>
      </c>
      <c r="F428" s="467"/>
      <c r="G428" s="458"/>
      <c r="H428" s="438"/>
      <c r="I428" s="212"/>
    </row>
    <row r="429" spans="2:9" ht="15">
      <c r="B429" s="216"/>
      <c r="C429" s="443"/>
      <c r="D429" s="317"/>
      <c r="E429" s="310">
        <f>440079.3/24.723</f>
        <v>17800.40043684019</v>
      </c>
      <c r="F429" s="467"/>
      <c r="G429" s="458"/>
      <c r="H429" s="438"/>
      <c r="I429" s="212"/>
    </row>
    <row r="430" spans="2:9" ht="15">
      <c r="B430" s="216"/>
      <c r="C430" s="444"/>
      <c r="D430" s="317"/>
      <c r="E430" s="310">
        <v>27764.65</v>
      </c>
      <c r="F430" s="468"/>
      <c r="G430" s="452"/>
      <c r="H430" s="438"/>
      <c r="I430" s="212"/>
    </row>
    <row r="431" spans="2:9" ht="15">
      <c r="B431" s="216"/>
      <c r="C431" s="463" t="s">
        <v>561</v>
      </c>
      <c r="D431" s="311"/>
      <c r="E431" s="310">
        <v>1268.94</v>
      </c>
      <c r="F431" s="311"/>
      <c r="G431" s="310">
        <v>1268.94</v>
      </c>
      <c r="H431" s="486" t="s">
        <v>408</v>
      </c>
      <c r="I431" s="212"/>
    </row>
    <row r="432" spans="2:9" ht="15">
      <c r="B432" s="216"/>
      <c r="C432" s="465"/>
      <c r="D432" s="342"/>
      <c r="E432" s="310">
        <v>2817.5</v>
      </c>
      <c r="F432" s="342"/>
      <c r="G432" s="310">
        <v>2817.5</v>
      </c>
      <c r="H432" s="488"/>
      <c r="I432" s="212"/>
    </row>
    <row r="433" spans="2:9" ht="15">
      <c r="B433" s="216"/>
      <c r="C433" s="463" t="s">
        <v>560</v>
      </c>
      <c r="D433" s="311"/>
      <c r="E433" s="310">
        <f>191410/23.545</f>
        <v>8129.539180293055</v>
      </c>
      <c r="F433" s="463"/>
      <c r="G433" s="451">
        <v>7504.7780845190055</v>
      </c>
      <c r="H433" s="486" t="s">
        <v>408</v>
      </c>
      <c r="I433" s="212"/>
    </row>
    <row r="434" spans="2:9" ht="15">
      <c r="B434" s="216"/>
      <c r="C434" s="464"/>
      <c r="D434" s="311"/>
      <c r="E434" s="310">
        <f>192200/23.545</f>
        <v>8163.091951582076</v>
      </c>
      <c r="F434" s="464"/>
      <c r="G434" s="458"/>
      <c r="H434" s="487"/>
      <c r="I434" s="212"/>
    </row>
    <row r="435" spans="2:9" ht="15">
      <c r="B435" s="216"/>
      <c r="C435" s="465"/>
      <c r="D435" s="343"/>
      <c r="E435" s="310">
        <f>176700/23.545</f>
        <v>7504.7780845190055</v>
      </c>
      <c r="F435" s="465"/>
      <c r="G435" s="452"/>
      <c r="H435" s="488"/>
      <c r="I435" s="212"/>
    </row>
    <row r="436" spans="2:9" ht="15">
      <c r="B436" s="216"/>
      <c r="C436" s="343" t="s">
        <v>560</v>
      </c>
      <c r="D436" s="343"/>
      <c r="E436" s="310">
        <f>123250/23.545</f>
        <v>5234.657039711191</v>
      </c>
      <c r="F436" s="343"/>
      <c r="G436" s="310">
        <f>123250/23.545</f>
        <v>5234.657039711191</v>
      </c>
      <c r="H436" s="323" t="s">
        <v>570</v>
      </c>
      <c r="I436" s="212"/>
    </row>
    <row r="437" spans="2:9" ht="15.75" thickBot="1">
      <c r="B437" s="324"/>
      <c r="C437" s="358"/>
      <c r="D437" s="358"/>
      <c r="E437" s="325"/>
      <c r="F437" s="168"/>
      <c r="G437" s="325"/>
      <c r="H437" s="325"/>
      <c r="I437" s="326"/>
    </row>
    <row r="443" spans="3:8" ht="63.75" customHeight="1">
      <c r="C443" s="406" t="s">
        <v>575</v>
      </c>
      <c r="D443" s="406"/>
      <c r="E443" s="406"/>
      <c r="F443" s="406"/>
      <c r="G443" s="406"/>
      <c r="H443" s="406"/>
    </row>
  </sheetData>
  <sheetProtection/>
  <mergeCells count="350">
    <mergeCell ref="C433:C435"/>
    <mergeCell ref="F433:F435"/>
    <mergeCell ref="G433:G435"/>
    <mergeCell ref="H433:H435"/>
    <mergeCell ref="C425:C430"/>
    <mergeCell ref="F425:F430"/>
    <mergeCell ref="G425:G430"/>
    <mergeCell ref="H425:H430"/>
    <mergeCell ref="C431:C432"/>
    <mergeCell ref="H431:H432"/>
    <mergeCell ref="C413:C417"/>
    <mergeCell ref="F413:F417"/>
    <mergeCell ref="G413:G417"/>
    <mergeCell ref="H413:H417"/>
    <mergeCell ref="C418:C424"/>
    <mergeCell ref="H418:H424"/>
    <mergeCell ref="F423:F424"/>
    <mergeCell ref="G423:G424"/>
    <mergeCell ref="C408:C412"/>
    <mergeCell ref="H408:H412"/>
    <mergeCell ref="F409:F410"/>
    <mergeCell ref="G409:G410"/>
    <mergeCell ref="F411:F412"/>
    <mergeCell ref="G411:G412"/>
    <mergeCell ref="C401:C407"/>
    <mergeCell ref="F401:F402"/>
    <mergeCell ref="G401:G402"/>
    <mergeCell ref="H401:H407"/>
    <mergeCell ref="F403:F405"/>
    <mergeCell ref="G403:G405"/>
    <mergeCell ref="F406:F407"/>
    <mergeCell ref="G406:G407"/>
    <mergeCell ref="C395:C397"/>
    <mergeCell ref="F395:F397"/>
    <mergeCell ref="G395:G397"/>
    <mergeCell ref="H395:H397"/>
    <mergeCell ref="C398:C400"/>
    <mergeCell ref="F398:F400"/>
    <mergeCell ref="G398:G400"/>
    <mergeCell ref="H398:H400"/>
    <mergeCell ref="C387:H387"/>
    <mergeCell ref="C388:C390"/>
    <mergeCell ref="F388:F390"/>
    <mergeCell ref="G388:G390"/>
    <mergeCell ref="H388:H390"/>
    <mergeCell ref="C391:C394"/>
    <mergeCell ref="F391:F394"/>
    <mergeCell ref="G391:G394"/>
    <mergeCell ref="H391:H394"/>
    <mergeCell ref="C381:H381"/>
    <mergeCell ref="C382:C383"/>
    <mergeCell ref="F382:F383"/>
    <mergeCell ref="G382:G383"/>
    <mergeCell ref="H382:H383"/>
    <mergeCell ref="C384:C386"/>
    <mergeCell ref="F384:F386"/>
    <mergeCell ref="G384:G386"/>
    <mergeCell ref="H384:H386"/>
    <mergeCell ref="C375:C377"/>
    <mergeCell ref="F375:F377"/>
    <mergeCell ref="G375:G377"/>
    <mergeCell ref="H375:H377"/>
    <mergeCell ref="C378:C380"/>
    <mergeCell ref="F378:F380"/>
    <mergeCell ref="G378:G380"/>
    <mergeCell ref="H378:H380"/>
    <mergeCell ref="C369:C374"/>
    <mergeCell ref="F369:F371"/>
    <mergeCell ref="G369:G371"/>
    <mergeCell ref="H369:H371"/>
    <mergeCell ref="F372:F374"/>
    <mergeCell ref="G372:G374"/>
    <mergeCell ref="H372:H374"/>
    <mergeCell ref="C363:C365"/>
    <mergeCell ref="F363:F365"/>
    <mergeCell ref="G363:G365"/>
    <mergeCell ref="H363:H365"/>
    <mergeCell ref="C366:C368"/>
    <mergeCell ref="F366:F368"/>
    <mergeCell ref="G366:G368"/>
    <mergeCell ref="H366:H368"/>
    <mergeCell ref="C354:C359"/>
    <mergeCell ref="F354:F359"/>
    <mergeCell ref="G354:G359"/>
    <mergeCell ref="H354:H359"/>
    <mergeCell ref="C360:C362"/>
    <mergeCell ref="F360:F362"/>
    <mergeCell ref="G360:G362"/>
    <mergeCell ref="H360:H362"/>
    <mergeCell ref="C345:C348"/>
    <mergeCell ref="F345:F348"/>
    <mergeCell ref="G345:G348"/>
    <mergeCell ref="H345:H348"/>
    <mergeCell ref="C349:C353"/>
    <mergeCell ref="F349:F353"/>
    <mergeCell ref="G349:G353"/>
    <mergeCell ref="H349:H353"/>
    <mergeCell ref="H336:H339"/>
    <mergeCell ref="C340:C342"/>
    <mergeCell ref="F340:F342"/>
    <mergeCell ref="G340:G342"/>
    <mergeCell ref="H340:H342"/>
    <mergeCell ref="C343:C344"/>
    <mergeCell ref="F343:F344"/>
    <mergeCell ref="G343:G344"/>
    <mergeCell ref="H343:H344"/>
    <mergeCell ref="F331:F332"/>
    <mergeCell ref="G331:G332"/>
    <mergeCell ref="F333:F334"/>
    <mergeCell ref="G333:G334"/>
    <mergeCell ref="C336:C339"/>
    <mergeCell ref="F336:F339"/>
    <mergeCell ref="G336:G339"/>
    <mergeCell ref="C324:C326"/>
    <mergeCell ref="F324:F326"/>
    <mergeCell ref="G324:G326"/>
    <mergeCell ref="H324:H326"/>
    <mergeCell ref="C327:C335"/>
    <mergeCell ref="F327:F328"/>
    <mergeCell ref="G327:G328"/>
    <mergeCell ref="H327:H335"/>
    <mergeCell ref="F329:F330"/>
    <mergeCell ref="G329:G330"/>
    <mergeCell ref="C316:C323"/>
    <mergeCell ref="F316:F317"/>
    <mergeCell ref="G316:G317"/>
    <mergeCell ref="H316:H323"/>
    <mergeCell ref="F318:F320"/>
    <mergeCell ref="G318:G320"/>
    <mergeCell ref="C308:C315"/>
    <mergeCell ref="F308:F309"/>
    <mergeCell ref="G308:G309"/>
    <mergeCell ref="H308:H315"/>
    <mergeCell ref="F310:F312"/>
    <mergeCell ref="G310:G312"/>
    <mergeCell ref="H297:H298"/>
    <mergeCell ref="H299:H307"/>
    <mergeCell ref="F302:F303"/>
    <mergeCell ref="G302:G303"/>
    <mergeCell ref="F305:F306"/>
    <mergeCell ref="G305:G306"/>
    <mergeCell ref="C292:C294"/>
    <mergeCell ref="F292:F294"/>
    <mergeCell ref="G292:G294"/>
    <mergeCell ref="H292:H294"/>
    <mergeCell ref="C295:C307"/>
    <mergeCell ref="F295:F296"/>
    <mergeCell ref="G295:G296"/>
    <mergeCell ref="H295:H296"/>
    <mergeCell ref="F297:F298"/>
    <mergeCell ref="G297:G298"/>
    <mergeCell ref="C286:C288"/>
    <mergeCell ref="F286:F288"/>
    <mergeCell ref="G286:G288"/>
    <mergeCell ref="H286:H288"/>
    <mergeCell ref="C289:C291"/>
    <mergeCell ref="F289:F291"/>
    <mergeCell ref="G289:G291"/>
    <mergeCell ref="H289:H291"/>
    <mergeCell ref="C280:C282"/>
    <mergeCell ref="F280:F282"/>
    <mergeCell ref="G280:G282"/>
    <mergeCell ref="H280:H282"/>
    <mergeCell ref="C283:C285"/>
    <mergeCell ref="F283:F285"/>
    <mergeCell ref="G283:G285"/>
    <mergeCell ref="H283:H285"/>
    <mergeCell ref="C274:C276"/>
    <mergeCell ref="F274:F276"/>
    <mergeCell ref="G274:G276"/>
    <mergeCell ref="H274:H276"/>
    <mergeCell ref="C277:C279"/>
    <mergeCell ref="F277:F279"/>
    <mergeCell ref="G277:G279"/>
    <mergeCell ref="H277:H279"/>
    <mergeCell ref="C267:H267"/>
    <mergeCell ref="C268:C270"/>
    <mergeCell ref="F268:F270"/>
    <mergeCell ref="G268:G270"/>
    <mergeCell ref="H268:H270"/>
    <mergeCell ref="C271:C273"/>
    <mergeCell ref="F271:F273"/>
    <mergeCell ref="G271:G273"/>
    <mergeCell ref="H271:H273"/>
    <mergeCell ref="C259:C261"/>
    <mergeCell ref="F259:F261"/>
    <mergeCell ref="G259:G261"/>
    <mergeCell ref="H259:H261"/>
    <mergeCell ref="C264:C266"/>
    <mergeCell ref="F264:F266"/>
    <mergeCell ref="G264:G266"/>
    <mergeCell ref="H264:H266"/>
    <mergeCell ref="C253:C255"/>
    <mergeCell ref="F253:F255"/>
    <mergeCell ref="G253:G255"/>
    <mergeCell ref="H253:H255"/>
    <mergeCell ref="C256:C258"/>
    <mergeCell ref="F256:F258"/>
    <mergeCell ref="G256:G258"/>
    <mergeCell ref="H256:H258"/>
    <mergeCell ref="C247:C249"/>
    <mergeCell ref="F247:F249"/>
    <mergeCell ref="G247:G249"/>
    <mergeCell ref="H247:H249"/>
    <mergeCell ref="C250:C252"/>
    <mergeCell ref="F250:F252"/>
    <mergeCell ref="G250:G252"/>
    <mergeCell ref="H250:H252"/>
    <mergeCell ref="C241:C243"/>
    <mergeCell ref="F241:F243"/>
    <mergeCell ref="G241:G243"/>
    <mergeCell ref="H241:H243"/>
    <mergeCell ref="C244:C246"/>
    <mergeCell ref="F244:F246"/>
    <mergeCell ref="G244:G246"/>
    <mergeCell ref="H244:H246"/>
    <mergeCell ref="F236:F237"/>
    <mergeCell ref="G236:G237"/>
    <mergeCell ref="C238:C240"/>
    <mergeCell ref="F238:F240"/>
    <mergeCell ref="G238:G240"/>
    <mergeCell ref="H238:H240"/>
    <mergeCell ref="C229:C231"/>
    <mergeCell ref="F229:F231"/>
    <mergeCell ref="G229:G231"/>
    <mergeCell ref="H229:H231"/>
    <mergeCell ref="C232:C237"/>
    <mergeCell ref="F232:F233"/>
    <mergeCell ref="G232:G233"/>
    <mergeCell ref="H232:H237"/>
    <mergeCell ref="F234:F235"/>
    <mergeCell ref="G234:G235"/>
    <mergeCell ref="C220:C224"/>
    <mergeCell ref="F220:F224"/>
    <mergeCell ref="G220:G224"/>
    <mergeCell ref="H220:H224"/>
    <mergeCell ref="C225:C228"/>
    <mergeCell ref="F225:F226"/>
    <mergeCell ref="G225:G226"/>
    <mergeCell ref="H225:H228"/>
    <mergeCell ref="F227:F228"/>
    <mergeCell ref="G227:G228"/>
    <mergeCell ref="C196:C206"/>
    <mergeCell ref="F196:F197"/>
    <mergeCell ref="C213:C219"/>
    <mergeCell ref="F213:F214"/>
    <mergeCell ref="G213:G214"/>
    <mergeCell ref="H213:H219"/>
    <mergeCell ref="F215:F216"/>
    <mergeCell ref="G215:G216"/>
    <mergeCell ref="F218:F219"/>
    <mergeCell ref="G218:G219"/>
    <mergeCell ref="C207:C212"/>
    <mergeCell ref="F207:F208"/>
    <mergeCell ref="G207:G208"/>
    <mergeCell ref="H207:H212"/>
    <mergeCell ref="F210:F211"/>
    <mergeCell ref="G210:G211"/>
    <mergeCell ref="G196:G197"/>
    <mergeCell ref="H196:H206"/>
    <mergeCell ref="F198:F199"/>
    <mergeCell ref="G198:G199"/>
    <mergeCell ref="F200:F201"/>
    <mergeCell ref="G200:G201"/>
    <mergeCell ref="F203:F204"/>
    <mergeCell ref="G203:G204"/>
    <mergeCell ref="F205:F206"/>
    <mergeCell ref="G205:G206"/>
    <mergeCell ref="C189:C195"/>
    <mergeCell ref="F189:F190"/>
    <mergeCell ref="G189:G190"/>
    <mergeCell ref="H189:H195"/>
    <mergeCell ref="F193:F194"/>
    <mergeCell ref="G193:G194"/>
    <mergeCell ref="F177:F179"/>
    <mergeCell ref="G177:G179"/>
    <mergeCell ref="C180:C188"/>
    <mergeCell ref="F180:F181"/>
    <mergeCell ref="G180:G181"/>
    <mergeCell ref="H180:H188"/>
    <mergeCell ref="F186:F188"/>
    <mergeCell ref="G186:G188"/>
    <mergeCell ref="C169:C171"/>
    <mergeCell ref="F169:F171"/>
    <mergeCell ref="G169:G171"/>
    <mergeCell ref="H169:H171"/>
    <mergeCell ref="C172:C179"/>
    <mergeCell ref="F172:F173"/>
    <mergeCell ref="G172:G173"/>
    <mergeCell ref="H172:H179"/>
    <mergeCell ref="F174:F176"/>
    <mergeCell ref="G174:G176"/>
    <mergeCell ref="G160:G162"/>
    <mergeCell ref="H160:H162"/>
    <mergeCell ref="F163:F165"/>
    <mergeCell ref="G163:G165"/>
    <mergeCell ref="H163:H165"/>
    <mergeCell ref="C166:C168"/>
    <mergeCell ref="F166:F168"/>
    <mergeCell ref="G166:G168"/>
    <mergeCell ref="H166:H168"/>
    <mergeCell ref="G151:G153"/>
    <mergeCell ref="H151:H153"/>
    <mergeCell ref="F154:F156"/>
    <mergeCell ref="G154:G156"/>
    <mergeCell ref="H154:H156"/>
    <mergeCell ref="C157:C165"/>
    <mergeCell ref="F157:F159"/>
    <mergeCell ref="G157:G159"/>
    <mergeCell ref="H157:H159"/>
    <mergeCell ref="F160:F162"/>
    <mergeCell ref="C144:H144"/>
    <mergeCell ref="C145:C147"/>
    <mergeCell ref="F145:F147"/>
    <mergeCell ref="G145:G147"/>
    <mergeCell ref="H145:H147"/>
    <mergeCell ref="C148:C156"/>
    <mergeCell ref="F148:F150"/>
    <mergeCell ref="G148:G150"/>
    <mergeCell ref="H148:H150"/>
    <mergeCell ref="F151:F153"/>
    <mergeCell ref="D120:D122"/>
    <mergeCell ref="D123:D125"/>
    <mergeCell ref="D127:D132"/>
    <mergeCell ref="D134:D135"/>
    <mergeCell ref="C141:D141"/>
    <mergeCell ref="C142:E142"/>
    <mergeCell ref="D77:D85"/>
    <mergeCell ref="D86:D90"/>
    <mergeCell ref="D91:D95"/>
    <mergeCell ref="D110:D111"/>
    <mergeCell ref="D112:G112"/>
    <mergeCell ref="D115:G115"/>
    <mergeCell ref="D29:D33"/>
    <mergeCell ref="D34:D39"/>
    <mergeCell ref="D40:D43"/>
    <mergeCell ref="D44:D47"/>
    <mergeCell ref="D52:D53"/>
    <mergeCell ref="D65:G65"/>
    <mergeCell ref="D49:D50"/>
    <mergeCell ref="C443:H443"/>
    <mergeCell ref="D20:D22"/>
    <mergeCell ref="D23:D28"/>
    <mergeCell ref="C3:F3"/>
    <mergeCell ref="B4:F4"/>
    <mergeCell ref="C7:D7"/>
    <mergeCell ref="C8:F8"/>
    <mergeCell ref="D10:G10"/>
    <mergeCell ref="C5:H5"/>
    <mergeCell ref="C6:F6"/>
  </mergeCells>
  <conditionalFormatting sqref="C21 C28 C60 D10:D11">
    <cfRule type="cellIs" priority="4" dxfId="6" operator="equal">
      <formula>0</formula>
    </cfRule>
  </conditionalFormatting>
  <conditionalFormatting sqref="C60 C64 C34 C53 D20 D22 D10 D17">
    <cfRule type="cellIs" priority="3" dxfId="6" operator="equal">
      <formula>0</formula>
    </cfRule>
  </conditionalFormatting>
  <conditionalFormatting sqref="C118 C381 D10:D11">
    <cfRule type="cellIs" priority="2" dxfId="6" operator="equal">
      <formula>0</formula>
    </cfRule>
  </conditionalFormatting>
  <conditionalFormatting sqref="C381 C387 C144 C267 D112 D115 D10 D65">
    <cfRule type="cellIs" priority="1" dxfId="6" operator="equal">
      <formula>0</formula>
    </cfRule>
  </conditionalFormatting>
  <printOptions/>
  <pageMargins left="0.7086614173228347" right="0.7086614173228347" top="0.7480314960629921" bottom="0.7480314960629921" header="0.31496062992125984" footer="0.31496062992125984"/>
  <pageSetup horizontalDpi="600" verticalDpi="600" orientation="landscape" scale="55" r:id="rId1"/>
</worksheet>
</file>

<file path=xl/worksheets/sheet4.xml><?xml version="1.0" encoding="utf-8"?>
<worksheet xmlns="http://schemas.openxmlformats.org/spreadsheetml/2006/main" xmlns:r="http://schemas.openxmlformats.org/officeDocument/2006/relationships">
  <dimension ref="B2:G58"/>
  <sheetViews>
    <sheetView zoomScale="85" zoomScaleNormal="85" zoomScalePageLayoutView="0" workbookViewId="0" topLeftCell="A1">
      <selection activeCell="E15" sqref="E15:F15"/>
    </sheetView>
  </sheetViews>
  <sheetFormatPr defaultColWidth="9.140625" defaultRowHeight="15"/>
  <cols>
    <col min="3" max="3" width="30.7109375" style="0" customWidth="1"/>
    <col min="4" max="4" width="23.8515625" style="0" customWidth="1"/>
    <col min="5" max="5" width="30.7109375" style="0" customWidth="1"/>
    <col min="6" max="6" width="57.28125" style="0" customWidth="1"/>
  </cols>
  <sheetData>
    <row r="1" ht="15.75" thickBot="1"/>
    <row r="2" spans="2:7" ht="15.75" thickBot="1">
      <c r="B2" s="111"/>
      <c r="C2" s="112"/>
      <c r="D2" s="112"/>
      <c r="E2" s="112"/>
      <c r="F2" s="112"/>
      <c r="G2" s="113"/>
    </row>
    <row r="3" spans="2:7" ht="21" thickBot="1">
      <c r="B3" s="114"/>
      <c r="C3" s="394" t="s">
        <v>222</v>
      </c>
      <c r="D3" s="395"/>
      <c r="E3" s="395"/>
      <c r="F3" s="396"/>
      <c r="G3" s="78"/>
    </row>
    <row r="4" spans="2:7" ht="15">
      <c r="B4" s="489"/>
      <c r="C4" s="490"/>
      <c r="D4" s="490"/>
      <c r="E4" s="490"/>
      <c r="F4" s="490"/>
      <c r="G4" s="78"/>
    </row>
    <row r="5" spans="2:7" ht="15">
      <c r="B5" s="79"/>
      <c r="C5" s="491"/>
      <c r="D5" s="491"/>
      <c r="E5" s="491"/>
      <c r="F5" s="491"/>
      <c r="G5" s="78"/>
    </row>
    <row r="6" spans="2:7" ht="15">
      <c r="B6" s="79"/>
      <c r="C6" s="80"/>
      <c r="D6" s="81"/>
      <c r="E6" s="80"/>
      <c r="F6" s="81"/>
      <c r="G6" s="78"/>
    </row>
    <row r="7" spans="2:7" ht="15">
      <c r="B7" s="79"/>
      <c r="C7" s="492" t="s">
        <v>233</v>
      </c>
      <c r="D7" s="492"/>
      <c r="E7" s="82"/>
      <c r="F7" s="81"/>
      <c r="G7" s="78"/>
    </row>
    <row r="8" spans="2:7" ht="15.75" thickBot="1">
      <c r="B8" s="79"/>
      <c r="C8" s="493" t="s">
        <v>314</v>
      </c>
      <c r="D8" s="493"/>
      <c r="E8" s="493"/>
      <c r="F8" s="493"/>
      <c r="G8" s="78"/>
    </row>
    <row r="9" spans="2:7" ht="15.75" thickBot="1">
      <c r="B9" s="79"/>
      <c r="C9" s="34" t="s">
        <v>235</v>
      </c>
      <c r="D9" s="35" t="s">
        <v>234</v>
      </c>
      <c r="E9" s="494" t="s">
        <v>313</v>
      </c>
      <c r="F9" s="495"/>
      <c r="G9" s="78"/>
    </row>
    <row r="10" spans="2:7" ht="217.5" customHeight="1" thickBot="1">
      <c r="B10" s="79"/>
      <c r="C10" s="254" t="s">
        <v>437</v>
      </c>
      <c r="D10" s="254" t="s">
        <v>373</v>
      </c>
      <c r="E10" s="501" t="s">
        <v>473</v>
      </c>
      <c r="F10" s="502"/>
      <c r="G10" s="78"/>
    </row>
    <row r="11" spans="2:7" ht="231" customHeight="1" thickBot="1">
      <c r="B11" s="79"/>
      <c r="C11" s="498" t="s">
        <v>371</v>
      </c>
      <c r="D11" s="498" t="s">
        <v>373</v>
      </c>
      <c r="E11" s="496" t="s">
        <v>463</v>
      </c>
      <c r="F11" s="497"/>
      <c r="G11" s="78"/>
    </row>
    <row r="12" spans="2:7" ht="98.25" customHeight="1" thickBot="1">
      <c r="B12" s="79"/>
      <c r="C12" s="499"/>
      <c r="D12" s="499"/>
      <c r="E12" s="496" t="s">
        <v>438</v>
      </c>
      <c r="F12" s="497"/>
      <c r="G12" s="78"/>
    </row>
    <row r="13" spans="2:7" ht="123.75" customHeight="1" thickBot="1">
      <c r="B13" s="79"/>
      <c r="C13" s="499"/>
      <c r="D13" s="499"/>
      <c r="E13" s="496" t="s">
        <v>474</v>
      </c>
      <c r="F13" s="497"/>
      <c r="G13" s="78"/>
    </row>
    <row r="14" spans="2:7" ht="63.75" customHeight="1" thickBot="1">
      <c r="B14" s="79"/>
      <c r="C14" s="500"/>
      <c r="D14" s="500"/>
      <c r="E14" s="496" t="s">
        <v>439</v>
      </c>
      <c r="F14" s="497"/>
      <c r="G14" s="78"/>
    </row>
    <row r="15" spans="2:7" ht="304.5" customHeight="1" thickBot="1">
      <c r="B15" s="79"/>
      <c r="C15" s="241" t="s">
        <v>372</v>
      </c>
      <c r="D15" s="242" t="s">
        <v>373</v>
      </c>
      <c r="E15" s="503" t="s">
        <v>475</v>
      </c>
      <c r="F15" s="504"/>
      <c r="G15" s="78"/>
    </row>
    <row r="16" spans="2:7" ht="45.75" customHeight="1">
      <c r="B16" s="79"/>
      <c r="C16" s="37" t="s">
        <v>372</v>
      </c>
      <c r="D16" s="37" t="s">
        <v>373</v>
      </c>
      <c r="E16" s="503" t="s">
        <v>462</v>
      </c>
      <c r="F16" s="504"/>
      <c r="G16" s="78"/>
    </row>
    <row r="17" spans="2:7" ht="30" customHeight="1">
      <c r="B17" s="79"/>
      <c r="C17" s="37"/>
      <c r="D17" s="37"/>
      <c r="E17" s="505"/>
      <c r="F17" s="506"/>
      <c r="G17" s="78"/>
    </row>
    <row r="18" spans="2:7" ht="30" customHeight="1" thickBot="1">
      <c r="B18" s="79"/>
      <c r="C18" s="38"/>
      <c r="D18" s="38"/>
      <c r="E18" s="514"/>
      <c r="F18" s="515"/>
      <c r="G18" s="78"/>
    </row>
    <row r="19" spans="2:7" ht="15">
      <c r="B19" s="79"/>
      <c r="C19" s="81"/>
      <c r="D19" s="81"/>
      <c r="E19" s="81"/>
      <c r="F19" s="81"/>
      <c r="G19" s="78"/>
    </row>
    <row r="20" spans="2:7" ht="15">
      <c r="B20" s="79"/>
      <c r="C20" s="522" t="s">
        <v>290</v>
      </c>
      <c r="D20" s="522"/>
      <c r="E20" s="522"/>
      <c r="F20" s="522"/>
      <c r="G20" s="78"/>
    </row>
    <row r="21" spans="2:7" ht="15.75" thickBot="1">
      <c r="B21" s="79"/>
      <c r="C21" s="521" t="s">
        <v>311</v>
      </c>
      <c r="D21" s="521"/>
      <c r="E21" s="521"/>
      <c r="F21" s="521"/>
      <c r="G21" s="78"/>
    </row>
    <row r="22" spans="2:7" ht="15.75" thickBot="1">
      <c r="B22" s="79"/>
      <c r="C22" s="34" t="s">
        <v>235</v>
      </c>
      <c r="D22" s="35" t="s">
        <v>234</v>
      </c>
      <c r="E22" s="494" t="s">
        <v>313</v>
      </c>
      <c r="F22" s="495"/>
      <c r="G22" s="78"/>
    </row>
    <row r="23" spans="2:7" ht="39.75" customHeight="1">
      <c r="B23" s="79"/>
      <c r="C23" s="36"/>
      <c r="D23" s="36"/>
      <c r="E23" s="510"/>
      <c r="F23" s="511"/>
      <c r="G23" s="78"/>
    </row>
    <row r="24" spans="2:7" ht="39.75" customHeight="1">
      <c r="B24" s="79"/>
      <c r="C24" s="37"/>
      <c r="D24" s="37"/>
      <c r="E24" s="512"/>
      <c r="F24" s="513"/>
      <c r="G24" s="78"/>
    </row>
    <row r="25" spans="2:7" ht="39.75" customHeight="1">
      <c r="B25" s="79"/>
      <c r="C25" s="37"/>
      <c r="D25" s="37"/>
      <c r="E25" s="512"/>
      <c r="F25" s="513"/>
      <c r="G25" s="78"/>
    </row>
    <row r="26" spans="2:7" ht="39.75" customHeight="1" thickBot="1">
      <c r="B26" s="79"/>
      <c r="C26" s="38"/>
      <c r="D26" s="38"/>
      <c r="E26" s="514"/>
      <c r="F26" s="515"/>
      <c r="G26" s="78"/>
    </row>
    <row r="27" spans="2:7" ht="15">
      <c r="B27" s="79"/>
      <c r="C27" s="81"/>
      <c r="D27" s="81"/>
      <c r="E27" s="81"/>
      <c r="F27" s="81"/>
      <c r="G27" s="78"/>
    </row>
    <row r="28" spans="2:7" ht="15">
      <c r="B28" s="79"/>
      <c r="C28" s="81"/>
      <c r="D28" s="81"/>
      <c r="E28" s="81"/>
      <c r="F28" s="81"/>
      <c r="G28" s="78"/>
    </row>
    <row r="29" spans="2:7" ht="31.5" customHeight="1">
      <c r="B29" s="79"/>
      <c r="C29" s="520" t="s">
        <v>289</v>
      </c>
      <c r="D29" s="520"/>
      <c r="E29" s="520"/>
      <c r="F29" s="520"/>
      <c r="G29" s="78"/>
    </row>
    <row r="30" spans="2:7" ht="15.75" thickBot="1">
      <c r="B30" s="79"/>
      <c r="C30" s="493" t="s">
        <v>315</v>
      </c>
      <c r="D30" s="493"/>
      <c r="E30" s="516"/>
      <c r="F30" s="516"/>
      <c r="G30" s="78"/>
    </row>
    <row r="31" spans="2:7" ht="134.25" customHeight="1" thickBot="1">
      <c r="B31" s="79"/>
      <c r="C31" s="496" t="s">
        <v>374</v>
      </c>
      <c r="D31" s="519"/>
      <c r="E31" s="519"/>
      <c r="F31" s="497"/>
      <c r="G31" s="78"/>
    </row>
    <row r="32" spans="2:7" ht="15">
      <c r="B32" s="79"/>
      <c r="C32" s="81"/>
      <c r="D32" s="81"/>
      <c r="E32" s="81"/>
      <c r="F32" s="81"/>
      <c r="G32" s="78"/>
    </row>
    <row r="33" spans="2:7" ht="15">
      <c r="B33" s="79"/>
      <c r="C33" s="81"/>
      <c r="D33" s="81"/>
      <c r="E33" s="81"/>
      <c r="F33" s="81"/>
      <c r="G33" s="78"/>
    </row>
    <row r="34" spans="2:7" ht="15">
      <c r="B34" s="79"/>
      <c r="C34" s="81"/>
      <c r="D34" s="81"/>
      <c r="E34" s="81"/>
      <c r="F34" s="81"/>
      <c r="G34" s="78"/>
    </row>
    <row r="35" spans="2:7" ht="15.75" thickBot="1">
      <c r="B35" s="83"/>
      <c r="C35" s="84"/>
      <c r="D35" s="84"/>
      <c r="E35" s="84"/>
      <c r="F35" s="84"/>
      <c r="G35" s="85"/>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509"/>
      <c r="D42" s="509"/>
      <c r="E42" s="7"/>
      <c r="F42" s="8"/>
      <c r="G42" s="8"/>
    </row>
    <row r="43" spans="2:7" ht="15">
      <c r="B43" s="8"/>
      <c r="C43" s="509"/>
      <c r="D43" s="509"/>
      <c r="E43" s="7"/>
      <c r="F43" s="8"/>
      <c r="G43" s="8"/>
    </row>
    <row r="44" spans="2:7" ht="15">
      <c r="B44" s="8"/>
      <c r="C44" s="517"/>
      <c r="D44" s="517"/>
      <c r="E44" s="517"/>
      <c r="F44" s="517"/>
      <c r="G44" s="8"/>
    </row>
    <row r="45" spans="2:7" ht="15">
      <c r="B45" s="8"/>
      <c r="C45" s="507"/>
      <c r="D45" s="507"/>
      <c r="E45" s="518"/>
      <c r="F45" s="518"/>
      <c r="G45" s="8"/>
    </row>
    <row r="46" spans="2:7" ht="15">
      <c r="B46" s="8"/>
      <c r="C46" s="507"/>
      <c r="D46" s="507"/>
      <c r="E46" s="508"/>
      <c r="F46" s="508"/>
      <c r="G46" s="8"/>
    </row>
    <row r="47" spans="2:7" ht="15">
      <c r="B47" s="8"/>
      <c r="C47" s="8"/>
      <c r="D47" s="8"/>
      <c r="E47" s="8"/>
      <c r="F47" s="8"/>
      <c r="G47" s="8"/>
    </row>
    <row r="48" spans="2:7" ht="15">
      <c r="B48" s="8"/>
      <c r="C48" s="509"/>
      <c r="D48" s="509"/>
      <c r="E48" s="7"/>
      <c r="F48" s="8"/>
      <c r="G48" s="8"/>
    </row>
    <row r="49" spans="2:7" ht="15">
      <c r="B49" s="8"/>
      <c r="C49" s="509"/>
      <c r="D49" s="509"/>
      <c r="E49" s="523"/>
      <c r="F49" s="523"/>
      <c r="G49" s="8"/>
    </row>
    <row r="50" spans="2:7" ht="15">
      <c r="B50" s="8"/>
      <c r="C50" s="7"/>
      <c r="D50" s="7"/>
      <c r="E50" s="7"/>
      <c r="F50" s="7"/>
      <c r="G50" s="8"/>
    </row>
    <row r="51" spans="2:7" ht="15">
      <c r="B51" s="8"/>
      <c r="C51" s="507"/>
      <c r="D51" s="507"/>
      <c r="E51" s="518"/>
      <c r="F51" s="518"/>
      <c r="G51" s="8"/>
    </row>
    <row r="52" spans="2:7" ht="15">
      <c r="B52" s="8"/>
      <c r="C52" s="507"/>
      <c r="D52" s="507"/>
      <c r="E52" s="508"/>
      <c r="F52" s="508"/>
      <c r="G52" s="8"/>
    </row>
    <row r="53" spans="2:7" ht="15">
      <c r="B53" s="8"/>
      <c r="C53" s="8"/>
      <c r="D53" s="8"/>
      <c r="E53" s="8"/>
      <c r="F53" s="8"/>
      <c r="G53" s="8"/>
    </row>
    <row r="54" spans="2:7" ht="15">
      <c r="B54" s="8"/>
      <c r="C54" s="509"/>
      <c r="D54" s="509"/>
      <c r="E54" s="8"/>
      <c r="F54" s="8"/>
      <c r="G54" s="8"/>
    </row>
    <row r="55" spans="2:7" ht="15">
      <c r="B55" s="8"/>
      <c r="C55" s="509"/>
      <c r="D55" s="509"/>
      <c r="E55" s="508"/>
      <c r="F55" s="508"/>
      <c r="G55" s="8"/>
    </row>
    <row r="56" spans="2:7" ht="15">
      <c r="B56" s="8"/>
      <c r="C56" s="507"/>
      <c r="D56" s="507"/>
      <c r="E56" s="508"/>
      <c r="F56" s="508"/>
      <c r="G56" s="8"/>
    </row>
    <row r="57" spans="2:7" ht="15">
      <c r="B57" s="8"/>
      <c r="C57" s="10"/>
      <c r="D57" s="8"/>
      <c r="E57" s="10"/>
      <c r="F57" s="8"/>
      <c r="G57" s="8"/>
    </row>
    <row r="58" spans="2:7" ht="15">
      <c r="B58" s="8"/>
      <c r="C58" s="10"/>
      <c r="D58" s="10"/>
      <c r="E58" s="10"/>
      <c r="F58" s="10"/>
      <c r="G58" s="11"/>
    </row>
  </sheetData>
  <sheetProtection/>
  <mergeCells count="47">
    <mergeCell ref="C55:D55"/>
    <mergeCell ref="E55:F55"/>
    <mergeCell ref="E18:F18"/>
    <mergeCell ref="C29:F29"/>
    <mergeCell ref="C30:D30"/>
    <mergeCell ref="C21:F21"/>
    <mergeCell ref="C49:D49"/>
    <mergeCell ref="C20:F20"/>
    <mergeCell ref="E49:F49"/>
    <mergeCell ref="C46:D46"/>
    <mergeCell ref="C44:F44"/>
    <mergeCell ref="C51:D51"/>
    <mergeCell ref="E51:F51"/>
    <mergeCell ref="C31:F31"/>
    <mergeCell ref="C45:D45"/>
    <mergeCell ref="E45:F45"/>
    <mergeCell ref="C43:D43"/>
    <mergeCell ref="C3:F3"/>
    <mergeCell ref="E23:F23"/>
    <mergeCell ref="E24:F24"/>
    <mergeCell ref="E25:F25"/>
    <mergeCell ref="E26:F26"/>
    <mergeCell ref="C48:D48"/>
    <mergeCell ref="E30:F30"/>
    <mergeCell ref="E22:F22"/>
    <mergeCell ref="E16:F16"/>
    <mergeCell ref="E46:F46"/>
    <mergeCell ref="E15:F15"/>
    <mergeCell ref="E12:F12"/>
    <mergeCell ref="E13:F13"/>
    <mergeCell ref="E17:F17"/>
    <mergeCell ref="C56:D56"/>
    <mergeCell ref="E56:F56"/>
    <mergeCell ref="C52:D52"/>
    <mergeCell ref="E52:F52"/>
    <mergeCell ref="C42:D42"/>
    <mergeCell ref="C54:D54"/>
    <mergeCell ref="B4:F4"/>
    <mergeCell ref="C5:F5"/>
    <mergeCell ref="C7:D7"/>
    <mergeCell ref="C8:F8"/>
    <mergeCell ref="E9:F9"/>
    <mergeCell ref="E11:F11"/>
    <mergeCell ref="C11:C14"/>
    <mergeCell ref="D11:D14"/>
    <mergeCell ref="E14:F14"/>
    <mergeCell ref="E10:F10"/>
  </mergeCells>
  <dataValidations count="2">
    <dataValidation type="whole" allowBlank="1" showInputMessage="1" showErrorMessage="1" sqref="E51 E45">
      <formula1>-999999999</formula1>
      <formula2>999999999</formula2>
    </dataValidation>
    <dataValidation type="list" allowBlank="1" showInputMessage="1" showErrorMessage="1" sqref="E55">
      <formula1>$K$62:$K$63</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Z117"/>
  <sheetViews>
    <sheetView zoomScale="70" zoomScaleNormal="70" zoomScalePageLayoutView="0" workbookViewId="0" topLeftCell="B25">
      <selection activeCell="F48" sqref="F48:I48"/>
    </sheetView>
  </sheetViews>
  <sheetFormatPr defaultColWidth="9.140625" defaultRowHeight="15"/>
  <cols>
    <col min="1" max="1" width="3.57421875" style="0" hidden="1" customWidth="1"/>
    <col min="2" max="2" width="0.2890625" style="0" customWidth="1"/>
    <col min="3" max="3" width="12.140625" style="12" customWidth="1"/>
    <col min="4" max="4" width="30.7109375" style="0" customWidth="1"/>
    <col min="5" max="5" width="6.28125" style="0" customWidth="1"/>
    <col min="6" max="6" width="22.140625" style="0" customWidth="1"/>
    <col min="7" max="7" width="16.7109375" style="0" customWidth="1"/>
    <col min="8" max="8" width="88.7109375" style="0" customWidth="1"/>
    <col min="9" max="9" width="16.8515625" style="0" customWidth="1"/>
    <col min="12" max="12" width="40.7109375" style="0" customWidth="1"/>
  </cols>
  <sheetData>
    <row r="1" spans="1:52" ht="15.75" thickBot="1">
      <c r="A1" s="22"/>
      <c r="B1" s="22"/>
      <c r="C1" s="21"/>
      <c r="D1" s="22"/>
      <c r="E1" s="22"/>
      <c r="F1" s="22"/>
      <c r="G1" s="22"/>
      <c r="H1" s="123"/>
      <c r="I1" s="123"/>
      <c r="J1" s="22"/>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row>
    <row r="2" spans="1:52" ht="15.75" thickBot="1">
      <c r="A2" s="22"/>
      <c r="B2" s="58"/>
      <c r="C2" s="59"/>
      <c r="D2" s="60"/>
      <c r="E2" s="60"/>
      <c r="F2" s="60"/>
      <c r="G2" s="60"/>
      <c r="H2" s="147"/>
      <c r="I2" s="147"/>
      <c r="J2" s="61"/>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row>
    <row r="3" spans="1:52" ht="21" thickBot="1">
      <c r="A3" s="22"/>
      <c r="B3" s="114"/>
      <c r="C3" s="394" t="s">
        <v>282</v>
      </c>
      <c r="D3" s="395"/>
      <c r="E3" s="395"/>
      <c r="F3" s="395"/>
      <c r="G3" s="395"/>
      <c r="H3" s="395"/>
      <c r="I3" s="396"/>
      <c r="J3" s="116"/>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row>
    <row r="4" spans="1:52" ht="15" customHeight="1">
      <c r="A4" s="22"/>
      <c r="B4" s="62"/>
      <c r="C4" s="534" t="s">
        <v>223</v>
      </c>
      <c r="D4" s="534"/>
      <c r="E4" s="534"/>
      <c r="F4" s="534"/>
      <c r="G4" s="534"/>
      <c r="H4" s="534"/>
      <c r="I4" s="534"/>
      <c r="J4" s="6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row>
    <row r="5" spans="1:52" ht="15">
      <c r="A5" s="22"/>
      <c r="B5" s="62"/>
      <c r="C5" s="64"/>
      <c r="D5" s="65"/>
      <c r="E5" s="65"/>
      <c r="F5" s="65"/>
      <c r="G5" s="65"/>
      <c r="H5" s="148"/>
      <c r="I5" s="148"/>
      <c r="J5" s="6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row>
    <row r="6" spans="1:52" ht="31.5" customHeight="1" thickBot="1">
      <c r="A6" s="22"/>
      <c r="B6" s="62"/>
      <c r="C6" s="64"/>
      <c r="D6" s="539" t="s">
        <v>283</v>
      </c>
      <c r="E6" s="539"/>
      <c r="F6" s="540" t="s">
        <v>360</v>
      </c>
      <c r="G6" s="540"/>
      <c r="H6" s="144" t="s">
        <v>292</v>
      </c>
      <c r="I6" s="144" t="s">
        <v>232</v>
      </c>
      <c r="J6" s="6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row>
    <row r="7" spans="1:52" s="12" customFormat="1" ht="127.5" customHeight="1" thickBot="1">
      <c r="A7" s="21"/>
      <c r="B7" s="67"/>
      <c r="C7" s="204" t="s">
        <v>280</v>
      </c>
      <c r="D7" s="545" t="s">
        <v>477</v>
      </c>
      <c r="E7" s="546"/>
      <c r="F7" s="532" t="s">
        <v>441</v>
      </c>
      <c r="G7" s="533"/>
      <c r="H7" s="277" t="s">
        <v>460</v>
      </c>
      <c r="I7" s="227" t="s">
        <v>227</v>
      </c>
      <c r="J7" s="68"/>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row>
    <row r="8" spans="1:52" s="12" customFormat="1" ht="157.5" customHeight="1" thickBot="1">
      <c r="A8" s="21"/>
      <c r="B8" s="67"/>
      <c r="C8" s="204"/>
      <c r="D8" s="547"/>
      <c r="E8" s="548"/>
      <c r="F8" s="543" t="s">
        <v>375</v>
      </c>
      <c r="G8" s="544"/>
      <c r="H8" s="265" t="s">
        <v>478</v>
      </c>
      <c r="I8" s="227" t="s">
        <v>227</v>
      </c>
      <c r="J8" s="68"/>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row>
    <row r="9" spans="1:52" s="12" customFormat="1" ht="106.5" customHeight="1" thickBot="1">
      <c r="A9" s="21"/>
      <c r="B9" s="67"/>
      <c r="C9" s="268"/>
      <c r="D9" s="535" t="s">
        <v>440</v>
      </c>
      <c r="E9" s="536"/>
      <c r="F9" s="541" t="s">
        <v>416</v>
      </c>
      <c r="G9" s="542"/>
      <c r="H9" s="266" t="s">
        <v>443</v>
      </c>
      <c r="I9" s="228" t="s">
        <v>227</v>
      </c>
      <c r="J9" s="68"/>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row>
    <row r="10" spans="1:52" s="12" customFormat="1" ht="110.25" customHeight="1" thickBot="1">
      <c r="A10" s="21"/>
      <c r="B10" s="67"/>
      <c r="C10" s="204"/>
      <c r="D10" s="549" t="s">
        <v>376</v>
      </c>
      <c r="E10" s="550"/>
      <c r="F10" s="535" t="s">
        <v>377</v>
      </c>
      <c r="G10" s="536"/>
      <c r="H10" s="254" t="s">
        <v>444</v>
      </c>
      <c r="I10" s="228" t="s">
        <v>227</v>
      </c>
      <c r="J10" s="68"/>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row>
    <row r="11" spans="1:52" s="12" customFormat="1" ht="62.25" customHeight="1" thickBot="1">
      <c r="A11" s="21"/>
      <c r="B11" s="67"/>
      <c r="C11" s="204"/>
      <c r="D11" s="530" t="s">
        <v>378</v>
      </c>
      <c r="E11" s="531"/>
      <c r="F11" s="537" t="s">
        <v>442</v>
      </c>
      <c r="G11" s="538"/>
      <c r="H11" s="266" t="s">
        <v>445</v>
      </c>
      <c r="I11" s="225" t="s">
        <v>226</v>
      </c>
      <c r="J11" s="68"/>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row>
    <row r="12" spans="1:52" s="12" customFormat="1" ht="126" customHeight="1">
      <c r="A12" s="21"/>
      <c r="B12" s="67"/>
      <c r="C12" s="204"/>
      <c r="D12" s="524" t="s">
        <v>379</v>
      </c>
      <c r="E12" s="525"/>
      <c r="F12" s="526" t="s">
        <v>380</v>
      </c>
      <c r="G12" s="527"/>
      <c r="H12" s="266" t="s">
        <v>479</v>
      </c>
      <c r="I12" s="228" t="s">
        <v>227</v>
      </c>
      <c r="J12" s="68"/>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row>
    <row r="13" spans="1:52" s="12" customFormat="1" ht="97.5" customHeight="1">
      <c r="A13" s="21"/>
      <c r="B13" s="67"/>
      <c r="C13" s="204"/>
      <c r="D13" s="528" t="s">
        <v>480</v>
      </c>
      <c r="E13" s="529"/>
      <c r="F13" s="551" t="s">
        <v>417</v>
      </c>
      <c r="G13" s="552"/>
      <c r="H13" s="254" t="s">
        <v>418</v>
      </c>
      <c r="I13" s="228" t="s">
        <v>227</v>
      </c>
      <c r="J13" s="68"/>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row>
    <row r="14" spans="1:52" s="12" customFormat="1" ht="75" customHeight="1" thickBot="1">
      <c r="A14" s="21"/>
      <c r="B14" s="67"/>
      <c r="C14" s="268"/>
      <c r="D14" s="553" t="s">
        <v>381</v>
      </c>
      <c r="E14" s="554"/>
      <c r="F14" s="555" t="s">
        <v>419</v>
      </c>
      <c r="G14" s="556"/>
      <c r="H14" s="267" t="s">
        <v>481</v>
      </c>
      <c r="I14" s="276" t="s">
        <v>227</v>
      </c>
      <c r="J14" s="68"/>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row>
    <row r="15" spans="1:52" s="12" customFormat="1" ht="39.75" customHeight="1">
      <c r="A15" s="21"/>
      <c r="B15" s="67"/>
      <c r="C15" s="204"/>
      <c r="D15" s="69"/>
      <c r="E15" s="69"/>
      <c r="F15" s="69"/>
      <c r="G15" s="69"/>
      <c r="H15" s="152" t="s">
        <v>284</v>
      </c>
      <c r="I15" s="275" t="s">
        <v>227</v>
      </c>
      <c r="J15" s="68"/>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row>
    <row r="16" spans="1:52" s="12" customFormat="1" ht="15.75" thickBot="1">
      <c r="A16" s="21"/>
      <c r="B16" s="67"/>
      <c r="C16" s="204"/>
      <c r="D16" s="103"/>
      <c r="E16" s="193" t="s">
        <v>482</v>
      </c>
      <c r="F16" s="69"/>
      <c r="G16" s="69"/>
      <c r="H16" s="69"/>
      <c r="I16" s="69"/>
      <c r="J16" s="68"/>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row>
    <row r="17" spans="1:52" s="12" customFormat="1" ht="15.75" thickBot="1">
      <c r="A17" s="21"/>
      <c r="B17" s="67"/>
      <c r="C17" s="204"/>
      <c r="D17" s="108" t="s">
        <v>59</v>
      </c>
      <c r="E17" s="557" t="s">
        <v>359</v>
      </c>
      <c r="F17" s="558"/>
      <c r="G17" s="558"/>
      <c r="H17" s="559"/>
      <c r="I17" s="69"/>
      <c r="J17" s="68"/>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row>
    <row r="18" spans="1:52" s="12" customFormat="1" ht="15.75" thickBot="1">
      <c r="A18" s="21"/>
      <c r="B18" s="67"/>
      <c r="C18" s="204"/>
      <c r="D18" s="108" t="s">
        <v>61</v>
      </c>
      <c r="E18" s="560" t="s">
        <v>350</v>
      </c>
      <c r="F18" s="561"/>
      <c r="G18" s="561"/>
      <c r="H18" s="562"/>
      <c r="I18" s="69"/>
      <c r="J18" s="68"/>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row>
    <row r="19" spans="1:52" s="12" customFormat="1" ht="39.75" customHeight="1">
      <c r="A19" s="21"/>
      <c r="B19" s="67"/>
      <c r="C19" s="204"/>
      <c r="D19" s="69"/>
      <c r="E19" s="69"/>
      <c r="F19" s="69"/>
      <c r="G19" s="69"/>
      <c r="H19" s="69"/>
      <c r="I19" s="69"/>
      <c r="J19" s="68"/>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row>
    <row r="20" spans="1:52" s="12" customFormat="1" ht="30.75" customHeight="1" thickBot="1">
      <c r="A20" s="21"/>
      <c r="B20" s="67"/>
      <c r="C20" s="563" t="s">
        <v>224</v>
      </c>
      <c r="D20" s="563"/>
      <c r="E20" s="563"/>
      <c r="F20" s="563"/>
      <c r="G20" s="563"/>
      <c r="H20" s="563"/>
      <c r="I20" s="148"/>
      <c r="J20" s="68"/>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row>
    <row r="21" spans="1:52" s="12" customFormat="1" ht="30.75" customHeight="1">
      <c r="A21" s="21"/>
      <c r="B21" s="67"/>
      <c r="C21" s="205"/>
      <c r="D21" s="564" t="s">
        <v>467</v>
      </c>
      <c r="E21" s="565"/>
      <c r="F21" s="565"/>
      <c r="G21" s="565"/>
      <c r="H21" s="565"/>
      <c r="I21" s="566"/>
      <c r="J21" s="68"/>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row>
    <row r="22" spans="1:52" s="12" customFormat="1" ht="30.75" customHeight="1">
      <c r="A22" s="21"/>
      <c r="B22" s="67"/>
      <c r="C22" s="205"/>
      <c r="D22" s="567"/>
      <c r="E22" s="568"/>
      <c r="F22" s="568"/>
      <c r="G22" s="568"/>
      <c r="H22" s="568"/>
      <c r="I22" s="569"/>
      <c r="J22" s="68"/>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row>
    <row r="23" spans="1:52" s="12" customFormat="1" ht="30.75" customHeight="1">
      <c r="A23" s="21"/>
      <c r="B23" s="67"/>
      <c r="C23" s="205"/>
      <c r="D23" s="567"/>
      <c r="E23" s="568"/>
      <c r="F23" s="568"/>
      <c r="G23" s="568"/>
      <c r="H23" s="568"/>
      <c r="I23" s="569"/>
      <c r="J23" s="68"/>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row>
    <row r="24" spans="1:52" s="12" customFormat="1" ht="111.75" customHeight="1" thickBot="1">
      <c r="A24" s="21"/>
      <c r="B24" s="67"/>
      <c r="C24" s="205"/>
      <c r="D24" s="570"/>
      <c r="E24" s="571"/>
      <c r="F24" s="571"/>
      <c r="G24" s="571"/>
      <c r="H24" s="571"/>
      <c r="I24" s="572"/>
      <c r="J24" s="68"/>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row>
    <row r="25" spans="1:52" s="12" customFormat="1" ht="15">
      <c r="A25" s="21"/>
      <c r="B25" s="67"/>
      <c r="C25" s="205"/>
      <c r="D25" s="205"/>
      <c r="E25" s="205"/>
      <c r="F25" s="205"/>
      <c r="G25" s="205"/>
      <c r="H25" s="148"/>
      <c r="I25" s="148"/>
      <c r="J25" s="68"/>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row>
    <row r="26" spans="1:52" ht="15" customHeight="1">
      <c r="A26" s="22"/>
      <c r="B26" s="67"/>
      <c r="C26" s="145"/>
      <c r="D26" s="145"/>
      <c r="E26" s="145"/>
      <c r="F26" s="145"/>
      <c r="G26" s="145"/>
      <c r="H26" s="148"/>
      <c r="I26" s="148"/>
      <c r="J26" s="72"/>
      <c r="K26" s="6"/>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row>
    <row r="27" spans="1:52" ht="15.75" customHeight="1" thickBot="1">
      <c r="A27" s="22"/>
      <c r="B27" s="67"/>
      <c r="C27" s="70"/>
      <c r="D27" s="540" t="s">
        <v>283</v>
      </c>
      <c r="E27" s="540"/>
      <c r="F27" s="540" t="s">
        <v>291</v>
      </c>
      <c r="G27" s="540"/>
      <c r="H27" s="144" t="s">
        <v>292</v>
      </c>
      <c r="I27" s="144" t="s">
        <v>232</v>
      </c>
      <c r="J27" s="68"/>
      <c r="K27" s="6"/>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row>
    <row r="28" spans="1:52" ht="112.5" customHeight="1" thickBot="1">
      <c r="A28" s="22"/>
      <c r="B28" s="67"/>
      <c r="C28" s="143" t="s">
        <v>281</v>
      </c>
      <c r="D28" s="573" t="s">
        <v>382</v>
      </c>
      <c r="E28" s="574"/>
      <c r="F28" s="496" t="s">
        <v>468</v>
      </c>
      <c r="G28" s="497"/>
      <c r="H28" s="260" t="s">
        <v>483</v>
      </c>
      <c r="I28" s="219" t="s">
        <v>20</v>
      </c>
      <c r="J28" s="68"/>
      <c r="K28" s="6"/>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row>
    <row r="29" spans="1:52" ht="183.75" customHeight="1" thickBot="1">
      <c r="A29" s="22"/>
      <c r="B29" s="67"/>
      <c r="C29" s="143"/>
      <c r="D29" s="573" t="s">
        <v>383</v>
      </c>
      <c r="E29" s="574"/>
      <c r="F29" s="496" t="s">
        <v>420</v>
      </c>
      <c r="G29" s="497"/>
      <c r="H29" s="260" t="s">
        <v>469</v>
      </c>
      <c r="I29" s="219" t="s">
        <v>20</v>
      </c>
      <c r="J29" s="68"/>
      <c r="K29" s="6"/>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row>
    <row r="30" spans="1:52" ht="126" customHeight="1" thickBot="1">
      <c r="A30" s="22"/>
      <c r="B30" s="67"/>
      <c r="C30" s="143"/>
      <c r="D30" s="573" t="s">
        <v>484</v>
      </c>
      <c r="E30" s="574"/>
      <c r="F30" s="496" t="s">
        <v>421</v>
      </c>
      <c r="G30" s="497"/>
      <c r="H30" s="260" t="s">
        <v>447</v>
      </c>
      <c r="I30" s="219" t="s">
        <v>20</v>
      </c>
      <c r="J30" s="68"/>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row>
    <row r="31" spans="1:52" ht="103.5" customHeight="1" thickBot="1">
      <c r="A31" s="22"/>
      <c r="B31" s="67"/>
      <c r="C31" s="143"/>
      <c r="D31" s="573" t="s">
        <v>485</v>
      </c>
      <c r="E31" s="574"/>
      <c r="F31" s="496" t="s">
        <v>446</v>
      </c>
      <c r="G31" s="497"/>
      <c r="H31" s="260" t="s">
        <v>448</v>
      </c>
      <c r="I31" s="219" t="s">
        <v>20</v>
      </c>
      <c r="J31" s="68"/>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row>
    <row r="32" spans="1:52" ht="39.75" customHeight="1" thickBot="1">
      <c r="A32" s="22"/>
      <c r="B32" s="67"/>
      <c r="C32" s="64"/>
      <c r="D32" s="64"/>
      <c r="E32" s="64"/>
      <c r="F32" s="64"/>
      <c r="G32" s="64"/>
      <c r="H32" s="152" t="s">
        <v>284</v>
      </c>
      <c r="I32" s="220" t="s">
        <v>20</v>
      </c>
      <c r="J32" s="68"/>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row>
    <row r="33" spans="1:52" ht="15.75" thickBot="1">
      <c r="A33" s="22"/>
      <c r="B33" s="67"/>
      <c r="C33" s="64"/>
      <c r="D33" s="103"/>
      <c r="E33" s="193" t="s">
        <v>482</v>
      </c>
      <c r="F33" s="64"/>
      <c r="G33" s="64"/>
      <c r="H33" s="153"/>
      <c r="I33" s="64"/>
      <c r="J33" s="68"/>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row>
    <row r="34" spans="1:52" ht="15.75" thickBot="1">
      <c r="A34" s="22"/>
      <c r="B34" s="67"/>
      <c r="C34" s="64"/>
      <c r="D34" s="108" t="s">
        <v>59</v>
      </c>
      <c r="E34" s="575" t="s">
        <v>361</v>
      </c>
      <c r="F34" s="561"/>
      <c r="G34" s="561"/>
      <c r="H34" s="562"/>
      <c r="I34" s="64"/>
      <c r="J34" s="68"/>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row>
    <row r="35" spans="1:52" ht="15.75" thickBot="1">
      <c r="A35" s="22"/>
      <c r="B35" s="67"/>
      <c r="C35" s="64"/>
      <c r="D35" s="108" t="s">
        <v>61</v>
      </c>
      <c r="E35" s="576" t="s">
        <v>362</v>
      </c>
      <c r="F35" s="577"/>
      <c r="G35" s="577"/>
      <c r="H35" s="578"/>
      <c r="I35" s="64"/>
      <c r="J35" s="68"/>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row>
    <row r="36" spans="1:52" ht="15">
      <c r="A36" s="22"/>
      <c r="B36" s="67"/>
      <c r="C36" s="64"/>
      <c r="D36" s="64"/>
      <c r="E36" s="64"/>
      <c r="F36" s="64"/>
      <c r="G36" s="64"/>
      <c r="H36" s="153"/>
      <c r="I36" s="64"/>
      <c r="J36" s="68"/>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row>
    <row r="37" spans="1:52" ht="15.75" customHeight="1" thickBot="1">
      <c r="A37" s="22"/>
      <c r="B37" s="67"/>
      <c r="C37" s="70"/>
      <c r="D37" s="540" t="s">
        <v>283</v>
      </c>
      <c r="E37" s="540"/>
      <c r="F37" s="540" t="s">
        <v>291</v>
      </c>
      <c r="G37" s="540"/>
      <c r="H37" s="144" t="s">
        <v>292</v>
      </c>
      <c r="I37" s="144" t="s">
        <v>232</v>
      </c>
      <c r="J37" s="68"/>
      <c r="K37" s="6"/>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row>
    <row r="38" spans="1:52" ht="39.75" customHeight="1" thickBot="1">
      <c r="A38" s="22"/>
      <c r="B38" s="67"/>
      <c r="C38" s="143" t="s">
        <v>326</v>
      </c>
      <c r="D38" s="579"/>
      <c r="E38" s="580"/>
      <c r="F38" s="579"/>
      <c r="G38" s="580"/>
      <c r="H38" s="150"/>
      <c r="I38" s="150"/>
      <c r="J38" s="68"/>
      <c r="K38" s="6"/>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row>
    <row r="39" spans="1:52" ht="39.75" customHeight="1" thickBot="1">
      <c r="A39" s="22"/>
      <c r="B39" s="67"/>
      <c r="C39" s="143"/>
      <c r="D39" s="579"/>
      <c r="E39" s="580"/>
      <c r="F39" s="579"/>
      <c r="G39" s="580"/>
      <c r="H39" s="150"/>
      <c r="I39" s="150"/>
      <c r="J39" s="68"/>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row>
    <row r="40" spans="1:52" ht="48" customHeight="1" thickBot="1">
      <c r="A40" s="22"/>
      <c r="B40" s="67"/>
      <c r="C40" s="143"/>
      <c r="D40" s="579"/>
      <c r="E40" s="580"/>
      <c r="F40" s="579"/>
      <c r="G40" s="580"/>
      <c r="H40" s="150"/>
      <c r="I40" s="150"/>
      <c r="J40" s="68"/>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row>
    <row r="41" spans="1:52" ht="39.75" customHeight="1" thickBot="1">
      <c r="A41" s="22"/>
      <c r="B41" s="67"/>
      <c r="C41" s="64"/>
      <c r="D41" s="64"/>
      <c r="E41" s="64"/>
      <c r="F41" s="64"/>
      <c r="G41" s="64"/>
      <c r="H41" s="152" t="s">
        <v>284</v>
      </c>
      <c r="I41" s="154"/>
      <c r="J41" s="68"/>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row>
    <row r="42" spans="1:52" ht="15.75" thickBot="1">
      <c r="A42" s="22"/>
      <c r="B42" s="67"/>
      <c r="C42" s="64"/>
      <c r="D42" s="103"/>
      <c r="E42" s="193" t="s">
        <v>482</v>
      </c>
      <c r="F42" s="64"/>
      <c r="G42" s="64"/>
      <c r="H42" s="153"/>
      <c r="I42" s="64"/>
      <c r="J42" s="68"/>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row>
    <row r="43" spans="1:52" ht="15.75" thickBot="1">
      <c r="A43" s="22"/>
      <c r="B43" s="67"/>
      <c r="C43" s="64"/>
      <c r="D43" s="108" t="s">
        <v>59</v>
      </c>
      <c r="E43" s="575"/>
      <c r="F43" s="561"/>
      <c r="G43" s="561"/>
      <c r="H43" s="562"/>
      <c r="I43" s="64"/>
      <c r="J43" s="68"/>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row>
    <row r="44" spans="1:52" ht="15.75" thickBot="1">
      <c r="A44" s="22"/>
      <c r="B44" s="67"/>
      <c r="C44" s="64"/>
      <c r="D44" s="108" t="s">
        <v>61</v>
      </c>
      <c r="E44" s="575"/>
      <c r="F44" s="561"/>
      <c r="G44" s="561"/>
      <c r="H44" s="562"/>
      <c r="I44" s="64"/>
      <c r="J44" s="68"/>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row>
    <row r="45" spans="1:52" ht="15">
      <c r="A45" s="22"/>
      <c r="B45" s="67"/>
      <c r="C45" s="64"/>
      <c r="D45" s="108"/>
      <c r="E45" s="64"/>
      <c r="F45" s="64"/>
      <c r="G45" s="64"/>
      <c r="H45" s="64"/>
      <c r="I45" s="64"/>
      <c r="J45" s="68"/>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row>
    <row r="46" spans="1:52" ht="15">
      <c r="A46" s="22"/>
      <c r="B46" s="67"/>
      <c r="C46" s="64"/>
      <c r="D46" s="64"/>
      <c r="E46" s="64"/>
      <c r="F46" s="64"/>
      <c r="G46" s="64"/>
      <c r="H46" s="153"/>
      <c r="I46" s="64"/>
      <c r="J46" s="68"/>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row>
    <row r="47" spans="1:52" ht="18" customHeight="1" thickBot="1">
      <c r="A47" s="22"/>
      <c r="B47" s="67"/>
      <c r="C47" s="64"/>
      <c r="D47" s="64"/>
      <c r="E47" s="64"/>
      <c r="F47" s="64"/>
      <c r="G47" s="64"/>
      <c r="H47" s="153"/>
      <c r="I47" s="64"/>
      <c r="J47" s="68"/>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row>
    <row r="48" spans="1:52" ht="244.5" customHeight="1" thickBot="1">
      <c r="A48" s="22"/>
      <c r="B48" s="67"/>
      <c r="C48" s="151"/>
      <c r="D48" s="585" t="s">
        <v>293</v>
      </c>
      <c r="E48" s="585"/>
      <c r="F48" s="586" t="s">
        <v>497</v>
      </c>
      <c r="G48" s="587"/>
      <c r="H48" s="587"/>
      <c r="I48" s="588"/>
      <c r="J48" s="68"/>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row>
    <row r="49" spans="1:52" s="12" customFormat="1" ht="15" customHeight="1">
      <c r="A49" s="21"/>
      <c r="B49" s="67"/>
      <c r="C49" s="73"/>
      <c r="D49" s="73"/>
      <c r="E49" s="73"/>
      <c r="F49" s="73"/>
      <c r="G49" s="73"/>
      <c r="H49" s="148"/>
      <c r="I49" s="148"/>
      <c r="J49" s="68"/>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row>
    <row r="50" spans="1:52" s="12" customFormat="1" ht="47.25" customHeight="1" thickBot="1">
      <c r="A50" s="21"/>
      <c r="B50" s="67"/>
      <c r="C50" s="64"/>
      <c r="D50" s="65"/>
      <c r="E50" s="65"/>
      <c r="F50" s="65"/>
      <c r="G50" s="107" t="s">
        <v>225</v>
      </c>
      <c r="H50" s="148"/>
      <c r="I50" s="148"/>
      <c r="J50" s="68"/>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row>
    <row r="51" spans="1:52" s="12" customFormat="1" ht="85.5" customHeight="1">
      <c r="A51" s="21"/>
      <c r="B51" s="67"/>
      <c r="C51" s="64"/>
      <c r="D51" s="65"/>
      <c r="E51" s="65"/>
      <c r="F51" s="65"/>
      <c r="G51" s="31" t="s">
        <v>226</v>
      </c>
      <c r="H51" s="589" t="s">
        <v>476</v>
      </c>
      <c r="I51" s="590"/>
      <c r="J51" s="68"/>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row>
    <row r="52" spans="1:52" s="12" customFormat="1" ht="54.75" customHeight="1">
      <c r="A52" s="21"/>
      <c r="B52" s="67"/>
      <c r="C52" s="64"/>
      <c r="D52" s="65"/>
      <c r="E52" s="65"/>
      <c r="F52" s="65"/>
      <c r="G52" s="32" t="s">
        <v>227</v>
      </c>
      <c r="H52" s="581" t="s">
        <v>384</v>
      </c>
      <c r="I52" s="582"/>
      <c r="J52" s="68"/>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row>
    <row r="53" spans="1:52" s="12" customFormat="1" ht="58.5" customHeight="1">
      <c r="A53" s="21"/>
      <c r="B53" s="67"/>
      <c r="C53" s="64"/>
      <c r="D53" s="65"/>
      <c r="E53" s="65"/>
      <c r="F53" s="65"/>
      <c r="G53" s="32" t="s">
        <v>228</v>
      </c>
      <c r="H53" s="581" t="s">
        <v>385</v>
      </c>
      <c r="I53" s="582"/>
      <c r="J53" s="68"/>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row>
    <row r="54" spans="1:52" ht="60" customHeight="1">
      <c r="A54" s="22"/>
      <c r="B54" s="67"/>
      <c r="C54" s="64"/>
      <c r="D54" s="65"/>
      <c r="E54" s="65"/>
      <c r="F54" s="65"/>
      <c r="G54" s="32" t="s">
        <v>229</v>
      </c>
      <c r="H54" s="581" t="s">
        <v>386</v>
      </c>
      <c r="I54" s="582"/>
      <c r="J54" s="68"/>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row>
    <row r="55" spans="1:52" ht="54" customHeight="1">
      <c r="A55" s="22"/>
      <c r="B55" s="62"/>
      <c r="C55" s="64"/>
      <c r="D55" s="65"/>
      <c r="E55" s="65"/>
      <c r="F55" s="65"/>
      <c r="G55" s="32" t="s">
        <v>230</v>
      </c>
      <c r="H55" s="581" t="s">
        <v>387</v>
      </c>
      <c r="I55" s="582"/>
      <c r="J55" s="6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row>
    <row r="56" spans="1:52" ht="30.75" customHeight="1" thickBot="1">
      <c r="A56" s="22"/>
      <c r="B56" s="62"/>
      <c r="C56" s="64"/>
      <c r="D56" s="65"/>
      <c r="E56" s="65"/>
      <c r="F56" s="65"/>
      <c r="G56" s="33" t="s">
        <v>231</v>
      </c>
      <c r="H56" s="583" t="s">
        <v>388</v>
      </c>
      <c r="I56" s="584"/>
      <c r="J56" s="6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row>
    <row r="57" spans="1:52" ht="15">
      <c r="A57" s="22"/>
      <c r="B57" s="62"/>
      <c r="C57" s="64"/>
      <c r="D57" s="65"/>
      <c r="E57" s="65"/>
      <c r="F57" s="65"/>
      <c r="G57" s="65"/>
      <c r="H57" s="148"/>
      <c r="I57" s="148"/>
      <c r="J57" s="6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row>
    <row r="58" spans="1:52" ht="15">
      <c r="A58" s="22"/>
      <c r="B58" s="62"/>
      <c r="C58" s="64"/>
      <c r="D58" s="65"/>
      <c r="E58" s="65"/>
      <c r="F58" s="65"/>
      <c r="G58" s="65"/>
      <c r="H58" s="148"/>
      <c r="I58" s="148"/>
      <c r="J58" s="6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row>
    <row r="59" spans="1:44" ht="15.75" thickBot="1">
      <c r="A59" s="22"/>
      <c r="B59" s="74"/>
      <c r="C59" s="75"/>
      <c r="D59" s="76"/>
      <c r="E59" s="76"/>
      <c r="F59" s="76"/>
      <c r="G59" s="76"/>
      <c r="H59" s="149"/>
      <c r="I59" s="149"/>
      <c r="J59" s="77"/>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row>
    <row r="60" spans="1:44" ht="49.5" customHeight="1">
      <c r="A60" s="22"/>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row>
    <row r="61" spans="1:44" ht="49.5" customHeight="1">
      <c r="A61" s="22"/>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row>
    <row r="62" spans="1:44" ht="49.5" customHeight="1">
      <c r="A62" s="22"/>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row>
    <row r="63" spans="1:44" ht="49.5" customHeight="1">
      <c r="A63" s="22"/>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row>
    <row r="64" spans="1:44" ht="49.5" customHeight="1">
      <c r="A64" s="22"/>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row>
    <row r="65" spans="1:44" ht="49.5" customHeight="1">
      <c r="A65" s="22"/>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row>
    <row r="66" spans="1:44" ht="15">
      <c r="A66" s="22"/>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row>
    <row r="67" spans="1:44" ht="15">
      <c r="A67" s="22"/>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row>
    <row r="68" spans="1:44" ht="15">
      <c r="A68" s="22"/>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row>
    <row r="69" spans="1:52" ht="15">
      <c r="A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row>
    <row r="70" spans="1:52" ht="15">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row>
    <row r="71" spans="1:52" ht="15">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row>
    <row r="72" spans="1:52" ht="15">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row>
    <row r="73" spans="1:11" ht="15">
      <c r="A73" s="123"/>
      <c r="B73" s="123"/>
      <c r="C73" s="123"/>
      <c r="D73" s="123"/>
      <c r="E73" s="123"/>
      <c r="F73" s="123"/>
      <c r="G73" s="123"/>
      <c r="H73" s="123"/>
      <c r="I73" s="123"/>
      <c r="J73" s="123"/>
      <c r="K73" s="123"/>
    </row>
    <row r="74" spans="1:11" ht="15">
      <c r="A74" s="123"/>
      <c r="B74" s="123"/>
      <c r="C74" s="123"/>
      <c r="D74" s="123"/>
      <c r="E74" s="123"/>
      <c r="F74" s="123"/>
      <c r="G74" s="123"/>
      <c r="H74" s="123"/>
      <c r="I74" s="123"/>
      <c r="J74" s="123"/>
      <c r="K74" s="123"/>
    </row>
    <row r="75" spans="1:11" ht="15">
      <c r="A75" s="123"/>
      <c r="B75" s="123"/>
      <c r="C75" s="123"/>
      <c r="D75" s="123"/>
      <c r="E75" s="123"/>
      <c r="F75" s="123"/>
      <c r="G75" s="123"/>
      <c r="H75" s="123"/>
      <c r="I75" s="123"/>
      <c r="J75" s="123"/>
      <c r="K75" s="123"/>
    </row>
    <row r="76" spans="1:11" ht="15">
      <c r="A76" s="123"/>
      <c r="B76" s="123"/>
      <c r="C76" s="123"/>
      <c r="D76" s="123"/>
      <c r="E76" s="123"/>
      <c r="F76" s="123"/>
      <c r="G76" s="123"/>
      <c r="H76" s="123"/>
      <c r="I76" s="123"/>
      <c r="J76" s="123"/>
      <c r="K76" s="123"/>
    </row>
    <row r="77" spans="1:11" ht="15">
      <c r="A77" s="123"/>
      <c r="B77" s="123"/>
      <c r="C77" s="123"/>
      <c r="D77" s="123"/>
      <c r="E77" s="123"/>
      <c r="F77" s="123"/>
      <c r="G77" s="123"/>
      <c r="H77" s="123"/>
      <c r="I77" s="123"/>
      <c r="J77" s="123"/>
      <c r="K77" s="123"/>
    </row>
    <row r="78" spans="1:11" ht="15">
      <c r="A78" s="123"/>
      <c r="B78" s="123"/>
      <c r="C78" s="123"/>
      <c r="D78" s="123"/>
      <c r="E78" s="123"/>
      <c r="F78" s="123"/>
      <c r="G78" s="123"/>
      <c r="H78" s="123"/>
      <c r="I78" s="123"/>
      <c r="J78" s="123"/>
      <c r="K78" s="123"/>
    </row>
    <row r="79" spans="1:11" ht="15">
      <c r="A79" s="123"/>
      <c r="B79" s="123"/>
      <c r="C79" s="123"/>
      <c r="D79" s="123"/>
      <c r="E79" s="123"/>
      <c r="F79" s="123"/>
      <c r="G79" s="123"/>
      <c r="H79" s="123"/>
      <c r="I79" s="123"/>
      <c r="J79" s="123"/>
      <c r="K79" s="123"/>
    </row>
    <row r="80" spans="1:11" ht="15">
      <c r="A80" s="123"/>
      <c r="B80" s="123"/>
      <c r="C80" s="123"/>
      <c r="D80" s="123"/>
      <c r="E80" s="123"/>
      <c r="F80" s="123"/>
      <c r="G80" s="123"/>
      <c r="H80" s="123"/>
      <c r="I80" s="123"/>
      <c r="J80" s="123"/>
      <c r="K80" s="123"/>
    </row>
    <row r="81" spans="1:11" ht="15">
      <c r="A81" s="123"/>
      <c r="B81" s="123"/>
      <c r="C81" s="123"/>
      <c r="D81" s="123"/>
      <c r="E81" s="123"/>
      <c r="F81" s="123"/>
      <c r="G81" s="123"/>
      <c r="H81" s="123"/>
      <c r="I81" s="123"/>
      <c r="J81" s="123"/>
      <c r="K81" s="123"/>
    </row>
    <row r="82" spans="1:11" ht="15">
      <c r="A82" s="123"/>
      <c r="B82" s="123"/>
      <c r="C82" s="123"/>
      <c r="D82" s="123"/>
      <c r="E82" s="123"/>
      <c r="F82" s="123"/>
      <c r="G82" s="123"/>
      <c r="H82" s="123"/>
      <c r="I82" s="123"/>
      <c r="J82" s="123"/>
      <c r="K82" s="123"/>
    </row>
    <row r="83" spans="1:11" ht="15">
      <c r="A83" s="123"/>
      <c r="B83" s="123"/>
      <c r="C83" s="123"/>
      <c r="D83" s="123"/>
      <c r="E83" s="123"/>
      <c r="F83" s="123"/>
      <c r="G83" s="123"/>
      <c r="H83" s="123"/>
      <c r="I83" s="123"/>
      <c r="J83" s="123"/>
      <c r="K83" s="123"/>
    </row>
    <row r="84" spans="1:11" ht="15">
      <c r="A84" s="123"/>
      <c r="B84" s="123"/>
      <c r="C84" s="123"/>
      <c r="D84" s="123"/>
      <c r="E84" s="123"/>
      <c r="F84" s="123"/>
      <c r="G84" s="123"/>
      <c r="H84" s="123"/>
      <c r="I84" s="123"/>
      <c r="J84" s="123"/>
      <c r="K84" s="123"/>
    </row>
    <row r="85" spans="1:11" ht="15">
      <c r="A85" s="123"/>
      <c r="B85" s="123"/>
      <c r="C85" s="123"/>
      <c r="D85" s="123"/>
      <c r="E85" s="123"/>
      <c r="F85" s="123"/>
      <c r="G85" s="123"/>
      <c r="H85" s="123"/>
      <c r="I85" s="123"/>
      <c r="J85" s="123"/>
      <c r="K85" s="123"/>
    </row>
    <row r="86" spans="1:11" ht="15">
      <c r="A86" s="123"/>
      <c r="B86" s="123"/>
      <c r="C86" s="123"/>
      <c r="D86" s="123"/>
      <c r="E86" s="123"/>
      <c r="F86" s="123"/>
      <c r="G86" s="123"/>
      <c r="H86" s="123"/>
      <c r="I86" s="123"/>
      <c r="J86" s="123"/>
      <c r="K86" s="123"/>
    </row>
    <row r="87" spans="1:11" ht="15">
      <c r="A87" s="123"/>
      <c r="B87" s="123"/>
      <c r="C87" s="123"/>
      <c r="D87" s="123"/>
      <c r="E87" s="123"/>
      <c r="F87" s="123"/>
      <c r="G87" s="123"/>
      <c r="H87" s="123"/>
      <c r="I87" s="123"/>
      <c r="J87" s="123"/>
      <c r="K87" s="123"/>
    </row>
    <row r="88" spans="1:11" ht="15">
      <c r="A88" s="123"/>
      <c r="B88" s="123"/>
      <c r="C88" s="123"/>
      <c r="D88" s="123"/>
      <c r="E88" s="123"/>
      <c r="F88" s="123"/>
      <c r="G88" s="123"/>
      <c r="H88" s="123"/>
      <c r="I88" s="123"/>
      <c r="J88" s="123"/>
      <c r="K88" s="123"/>
    </row>
    <row r="89" spans="1:11" ht="15">
      <c r="A89" s="123"/>
      <c r="B89" s="123"/>
      <c r="C89" s="123"/>
      <c r="D89" s="123"/>
      <c r="E89" s="123"/>
      <c r="F89" s="123"/>
      <c r="G89" s="123"/>
      <c r="H89" s="123"/>
      <c r="I89" s="123"/>
      <c r="J89" s="123"/>
      <c r="K89" s="123"/>
    </row>
    <row r="90" spans="1:11" ht="15">
      <c r="A90" s="123"/>
      <c r="B90" s="123"/>
      <c r="C90" s="123"/>
      <c r="D90" s="123"/>
      <c r="E90" s="123"/>
      <c r="F90" s="123"/>
      <c r="G90" s="123"/>
      <c r="H90" s="123"/>
      <c r="I90" s="123"/>
      <c r="J90" s="123"/>
      <c r="K90" s="123"/>
    </row>
    <row r="91" spans="1:11" ht="15">
      <c r="A91" s="123"/>
      <c r="B91" s="123"/>
      <c r="C91" s="123"/>
      <c r="D91" s="123"/>
      <c r="E91" s="123"/>
      <c r="F91" s="123"/>
      <c r="G91" s="123"/>
      <c r="H91" s="123"/>
      <c r="I91" s="123"/>
      <c r="J91" s="123"/>
      <c r="K91" s="123"/>
    </row>
    <row r="92" spans="1:11" ht="15">
      <c r="A92" s="123"/>
      <c r="B92" s="123"/>
      <c r="C92" s="123"/>
      <c r="D92" s="123"/>
      <c r="E92" s="123"/>
      <c r="F92" s="123"/>
      <c r="G92" s="123"/>
      <c r="H92" s="123"/>
      <c r="I92" s="123"/>
      <c r="J92" s="123"/>
      <c r="K92" s="123"/>
    </row>
    <row r="93" spans="1:11" ht="15">
      <c r="A93" s="123"/>
      <c r="B93" s="123"/>
      <c r="C93" s="123"/>
      <c r="D93" s="123"/>
      <c r="E93" s="123"/>
      <c r="F93" s="123"/>
      <c r="G93" s="123"/>
      <c r="H93" s="123"/>
      <c r="I93" s="123"/>
      <c r="J93" s="123"/>
      <c r="K93" s="123"/>
    </row>
    <row r="94" spans="1:11" ht="15">
      <c r="A94" s="123"/>
      <c r="B94" s="123"/>
      <c r="C94" s="123"/>
      <c r="D94" s="123"/>
      <c r="E94" s="123"/>
      <c r="F94" s="123"/>
      <c r="G94" s="123"/>
      <c r="H94" s="123"/>
      <c r="I94" s="123"/>
      <c r="J94" s="123"/>
      <c r="K94" s="123"/>
    </row>
    <row r="95" spans="1:11" ht="15">
      <c r="A95" s="123"/>
      <c r="B95" s="123"/>
      <c r="C95" s="123"/>
      <c r="D95" s="123"/>
      <c r="E95" s="123"/>
      <c r="F95" s="123"/>
      <c r="G95" s="123"/>
      <c r="H95" s="123"/>
      <c r="I95" s="123"/>
      <c r="J95" s="123"/>
      <c r="K95" s="123"/>
    </row>
    <row r="96" spans="1:11" ht="15">
      <c r="A96" s="123"/>
      <c r="B96" s="123"/>
      <c r="C96" s="123"/>
      <c r="D96" s="123"/>
      <c r="E96" s="123"/>
      <c r="F96" s="123"/>
      <c r="G96" s="123"/>
      <c r="H96" s="123"/>
      <c r="I96" s="123"/>
      <c r="J96" s="123"/>
      <c r="K96" s="123"/>
    </row>
    <row r="97" spans="1:11" ht="15">
      <c r="A97" s="123"/>
      <c r="B97" s="123"/>
      <c r="C97" s="123"/>
      <c r="D97" s="123"/>
      <c r="E97" s="123"/>
      <c r="F97" s="123"/>
      <c r="G97" s="123"/>
      <c r="H97" s="123"/>
      <c r="I97" s="123"/>
      <c r="J97" s="123"/>
      <c r="K97" s="123"/>
    </row>
    <row r="98" spans="1:11" ht="15">
      <c r="A98" s="123"/>
      <c r="B98" s="123"/>
      <c r="C98" s="123"/>
      <c r="D98" s="123"/>
      <c r="E98" s="123"/>
      <c r="F98" s="123"/>
      <c r="G98" s="123"/>
      <c r="H98" s="123"/>
      <c r="I98" s="123"/>
      <c r="J98" s="123"/>
      <c r="K98" s="123"/>
    </row>
    <row r="99" spans="1:11" ht="15">
      <c r="A99" s="123"/>
      <c r="B99" s="123"/>
      <c r="C99" s="123"/>
      <c r="D99" s="123"/>
      <c r="E99" s="123"/>
      <c r="F99" s="123"/>
      <c r="G99" s="123"/>
      <c r="H99" s="123"/>
      <c r="I99" s="123"/>
      <c r="J99" s="123"/>
      <c r="K99" s="123"/>
    </row>
    <row r="100" spans="1:11" ht="15">
      <c r="A100" s="123"/>
      <c r="B100" s="123"/>
      <c r="C100" s="123"/>
      <c r="D100" s="123"/>
      <c r="E100" s="123"/>
      <c r="F100" s="123"/>
      <c r="G100" s="123"/>
      <c r="H100" s="123"/>
      <c r="I100" s="123"/>
      <c r="J100" s="123"/>
      <c r="K100" s="123"/>
    </row>
    <row r="101" spans="1:11" ht="15">
      <c r="A101" s="123"/>
      <c r="B101" s="123"/>
      <c r="C101" s="123"/>
      <c r="D101" s="123"/>
      <c r="E101" s="123"/>
      <c r="F101" s="123"/>
      <c r="G101" s="123"/>
      <c r="H101" s="123"/>
      <c r="I101" s="123"/>
      <c r="J101" s="123"/>
      <c r="K101" s="123"/>
    </row>
    <row r="102" spans="1:11" ht="15">
      <c r="A102" s="123"/>
      <c r="B102" s="123"/>
      <c r="C102" s="123"/>
      <c r="D102" s="123"/>
      <c r="E102" s="123"/>
      <c r="F102" s="123"/>
      <c r="G102" s="123"/>
      <c r="H102" s="123"/>
      <c r="I102" s="123"/>
      <c r="J102" s="123"/>
      <c r="K102" s="123"/>
    </row>
    <row r="103" spans="1:11" ht="15">
      <c r="A103" s="123"/>
      <c r="B103" s="123"/>
      <c r="C103" s="123"/>
      <c r="D103" s="123"/>
      <c r="E103" s="123"/>
      <c r="F103" s="123"/>
      <c r="G103" s="123"/>
      <c r="H103" s="123"/>
      <c r="I103" s="123"/>
      <c r="J103" s="123"/>
      <c r="K103" s="123"/>
    </row>
    <row r="104" spans="1:11" ht="15">
      <c r="A104" s="123"/>
      <c r="B104" s="123"/>
      <c r="C104" s="123"/>
      <c r="D104" s="123"/>
      <c r="E104" s="123"/>
      <c r="F104" s="123"/>
      <c r="G104" s="123"/>
      <c r="H104" s="123"/>
      <c r="I104" s="123"/>
      <c r="J104" s="123"/>
      <c r="K104" s="123"/>
    </row>
    <row r="105" spans="1:11" ht="15">
      <c r="A105" s="123"/>
      <c r="B105" s="123"/>
      <c r="C105" s="123"/>
      <c r="D105" s="123"/>
      <c r="E105" s="123"/>
      <c r="F105" s="123"/>
      <c r="G105" s="123"/>
      <c r="H105" s="123"/>
      <c r="I105" s="123"/>
      <c r="J105" s="123"/>
      <c r="K105" s="123"/>
    </row>
    <row r="106" spans="1:11" ht="15">
      <c r="A106" s="123"/>
      <c r="B106" s="123"/>
      <c r="C106" s="123"/>
      <c r="D106" s="123"/>
      <c r="E106" s="123"/>
      <c r="F106" s="123"/>
      <c r="G106" s="123"/>
      <c r="H106" s="123"/>
      <c r="I106" s="123"/>
      <c r="J106" s="123"/>
      <c r="K106" s="123"/>
    </row>
    <row r="107" spans="1:11" ht="15">
      <c r="A107" s="123"/>
      <c r="B107" s="123"/>
      <c r="C107" s="123"/>
      <c r="D107" s="123"/>
      <c r="E107" s="123"/>
      <c r="F107" s="123"/>
      <c r="G107" s="123"/>
      <c r="H107" s="123"/>
      <c r="I107" s="123"/>
      <c r="J107" s="123"/>
      <c r="K107" s="123"/>
    </row>
    <row r="108" spans="1:11" ht="15">
      <c r="A108" s="123"/>
      <c r="B108" s="123"/>
      <c r="H108" s="123"/>
      <c r="I108" s="123"/>
      <c r="J108" s="123"/>
      <c r="K108" s="123"/>
    </row>
    <row r="109" spans="1:11" ht="15">
      <c r="A109" s="123"/>
      <c r="B109" s="123"/>
      <c r="H109" s="123"/>
      <c r="I109" s="123"/>
      <c r="J109" s="123"/>
      <c r="K109" s="123"/>
    </row>
    <row r="110" spans="1:11" ht="15">
      <c r="A110" s="123"/>
      <c r="B110" s="123"/>
      <c r="H110" s="123"/>
      <c r="I110" s="123"/>
      <c r="J110" s="123"/>
      <c r="K110" s="123"/>
    </row>
    <row r="111" spans="1:11" ht="15">
      <c r="A111" s="123"/>
      <c r="B111" s="123"/>
      <c r="H111" s="123"/>
      <c r="I111" s="123"/>
      <c r="J111" s="123"/>
      <c r="K111" s="123"/>
    </row>
    <row r="112" spans="1:11" ht="15">
      <c r="A112" s="123"/>
      <c r="B112" s="123"/>
      <c r="H112" s="123"/>
      <c r="I112" s="123"/>
      <c r="J112" s="123"/>
      <c r="K112" s="123"/>
    </row>
    <row r="113" spans="1:11" ht="15">
      <c r="A113" s="123"/>
      <c r="B113" s="123"/>
      <c r="H113" s="123"/>
      <c r="I113" s="123"/>
      <c r="J113" s="123"/>
      <c r="K113" s="123"/>
    </row>
    <row r="114" spans="1:11" ht="15">
      <c r="A114" s="123"/>
      <c r="B114" s="123"/>
      <c r="H114" s="123"/>
      <c r="I114" s="123"/>
      <c r="J114" s="123"/>
      <c r="K114" s="123"/>
    </row>
    <row r="115" spans="1:11" ht="15">
      <c r="A115" s="123"/>
      <c r="B115" s="123"/>
      <c r="H115" s="123"/>
      <c r="I115" s="123"/>
      <c r="J115" s="123"/>
      <c r="K115" s="123"/>
    </row>
    <row r="116" spans="1:11" ht="15">
      <c r="A116" s="123"/>
      <c r="B116" s="123"/>
      <c r="H116" s="123"/>
      <c r="I116" s="123"/>
      <c r="J116" s="123"/>
      <c r="K116" s="123"/>
    </row>
    <row r="117" spans="2:10" ht="15">
      <c r="B117" s="123"/>
      <c r="J117" s="123"/>
    </row>
  </sheetData>
  <sheetProtection/>
  <mergeCells count="53">
    <mergeCell ref="H53:I53"/>
    <mergeCell ref="H54:I54"/>
    <mergeCell ref="H55:I55"/>
    <mergeCell ref="H56:I56"/>
    <mergeCell ref="E43:H43"/>
    <mergeCell ref="E44:H44"/>
    <mergeCell ref="D48:E48"/>
    <mergeCell ref="F48:I48"/>
    <mergeCell ref="H51:I51"/>
    <mergeCell ref="H52:I52"/>
    <mergeCell ref="D38:E38"/>
    <mergeCell ref="F38:G38"/>
    <mergeCell ref="D39:E39"/>
    <mergeCell ref="F39:G39"/>
    <mergeCell ref="D40:E40"/>
    <mergeCell ref="F40:G40"/>
    <mergeCell ref="D30:E30"/>
    <mergeCell ref="F30:G30"/>
    <mergeCell ref="E34:H34"/>
    <mergeCell ref="E35:H35"/>
    <mergeCell ref="D37:E37"/>
    <mergeCell ref="F37:G37"/>
    <mergeCell ref="D31:E31"/>
    <mergeCell ref="F31:G31"/>
    <mergeCell ref="D21:I24"/>
    <mergeCell ref="D27:E27"/>
    <mergeCell ref="F27:G27"/>
    <mergeCell ref="D28:E28"/>
    <mergeCell ref="F28:G28"/>
    <mergeCell ref="D29:E29"/>
    <mergeCell ref="F29:G29"/>
    <mergeCell ref="F13:G13"/>
    <mergeCell ref="D14:E14"/>
    <mergeCell ref="F14:G14"/>
    <mergeCell ref="E17:H17"/>
    <mergeCell ref="E18:H18"/>
    <mergeCell ref="C20:H20"/>
    <mergeCell ref="F6:G6"/>
    <mergeCell ref="F9:G9"/>
    <mergeCell ref="F8:G8"/>
    <mergeCell ref="D7:E8"/>
    <mergeCell ref="D10:E10"/>
    <mergeCell ref="F10:G10"/>
    <mergeCell ref="D12:E12"/>
    <mergeCell ref="F12:G12"/>
    <mergeCell ref="D13:E13"/>
    <mergeCell ref="D11:E11"/>
    <mergeCell ref="F7:G7"/>
    <mergeCell ref="C3:I3"/>
    <mergeCell ref="C4:I4"/>
    <mergeCell ref="D9:E9"/>
    <mergeCell ref="F11:G11"/>
    <mergeCell ref="D6:E6"/>
  </mergeCells>
  <conditionalFormatting sqref="D11:D13">
    <cfRule type="cellIs" priority="2" dxfId="6" operator="equal">
      <formula>0</formula>
    </cfRule>
  </conditionalFormatting>
  <conditionalFormatting sqref="D12:D13">
    <cfRule type="cellIs" priority="1" dxfId="6" operator="equal">
      <formula>0</formula>
    </cfRule>
  </conditionalFormatting>
  <hyperlinks>
    <hyperlink ref="E18" r:id="rId1" display="karlavanessa2005@gmail.com"/>
  </hyperlinks>
  <printOptions horizontalCentered="1"/>
  <pageMargins left="0.11811023622047245" right="0.11811023622047245" top="0.15748031496062992" bottom="0.15748031496062992" header="0.31496062992125984" footer="0.31496062992125984"/>
  <pageSetup horizontalDpi="600" verticalDpi="600" orientation="landscape" paperSize="5" scale="70" r:id="rId2"/>
</worksheet>
</file>

<file path=xl/worksheets/sheet6.xml><?xml version="1.0" encoding="utf-8"?>
<worksheet xmlns="http://schemas.openxmlformats.org/spreadsheetml/2006/main" xmlns:r="http://schemas.openxmlformats.org/officeDocument/2006/relationships">
  <dimension ref="B3:S33"/>
  <sheetViews>
    <sheetView zoomScale="70" zoomScaleNormal="70" zoomScalePageLayoutView="0" workbookViewId="0" topLeftCell="A1">
      <selection activeCell="N18" sqref="N18"/>
    </sheetView>
  </sheetViews>
  <sheetFormatPr defaultColWidth="9.140625" defaultRowHeight="15"/>
  <cols>
    <col min="1" max="1" width="4.00390625" style="0" customWidth="1"/>
    <col min="2" max="2" width="2.28125" style="0" customWidth="1"/>
    <col min="3" max="3" width="14.8515625" style="0" customWidth="1"/>
    <col min="4" max="4" width="20.7109375" style="0" customWidth="1"/>
    <col min="5" max="5" width="17.57421875" style="0" customWidth="1"/>
    <col min="6" max="6" width="13.00390625" style="0" customWidth="1"/>
    <col min="7" max="7" width="96.8515625" style="0" customWidth="1"/>
    <col min="8" max="8" width="20.7109375" style="0" customWidth="1"/>
    <col min="9" max="9" width="6.8515625" style="0" customWidth="1"/>
    <col min="10" max="10" width="35.421875" style="0" customWidth="1"/>
    <col min="14" max="14" width="31.28125" style="0" customWidth="1"/>
  </cols>
  <sheetData>
    <row r="2" ht="15.75" thickBot="1"/>
    <row r="3" spans="2:9" ht="15.75" thickBot="1">
      <c r="B3" s="58"/>
      <c r="C3" s="59"/>
      <c r="D3" s="60"/>
      <c r="E3" s="60"/>
      <c r="F3" s="60"/>
      <c r="G3" s="60"/>
      <c r="H3" s="60"/>
      <c r="I3" s="61"/>
    </row>
    <row r="4" spans="2:9" ht="21" thickBot="1">
      <c r="B4" s="114"/>
      <c r="C4" s="394" t="s">
        <v>275</v>
      </c>
      <c r="D4" s="603"/>
      <c r="E4" s="603"/>
      <c r="F4" s="603"/>
      <c r="G4" s="603"/>
      <c r="H4" s="604"/>
      <c r="I4" s="116"/>
    </row>
    <row r="5" spans="2:9" ht="15">
      <c r="B5" s="62"/>
      <c r="C5" s="605" t="s">
        <v>276</v>
      </c>
      <c r="D5" s="605"/>
      <c r="E5" s="605"/>
      <c r="F5" s="605"/>
      <c r="G5" s="605"/>
      <c r="H5" s="605"/>
      <c r="I5" s="63"/>
    </row>
    <row r="6" spans="2:9" ht="15">
      <c r="B6" s="62"/>
      <c r="C6" s="606"/>
      <c r="D6" s="606"/>
      <c r="E6" s="606"/>
      <c r="F6" s="606"/>
      <c r="G6" s="606"/>
      <c r="H6" s="606"/>
      <c r="I6" s="63"/>
    </row>
    <row r="7" spans="2:9" ht="30.75" customHeight="1" thickBot="1">
      <c r="B7" s="62"/>
      <c r="C7" s="609" t="s">
        <v>277</v>
      </c>
      <c r="D7" s="609"/>
      <c r="E7" s="65"/>
      <c r="F7" s="65"/>
      <c r="G7" s="65"/>
      <c r="H7" s="65"/>
      <c r="I7" s="63"/>
    </row>
    <row r="8" spans="2:9" ht="30" customHeight="1" thickBot="1">
      <c r="B8" s="62"/>
      <c r="C8" s="142" t="s">
        <v>274</v>
      </c>
      <c r="D8" s="607" t="s">
        <v>273</v>
      </c>
      <c r="E8" s="608"/>
      <c r="F8" s="132" t="s">
        <v>268</v>
      </c>
      <c r="G8" s="133" t="s">
        <v>316</v>
      </c>
      <c r="H8" s="132" t="s">
        <v>327</v>
      </c>
      <c r="I8" s="63"/>
    </row>
    <row r="9" spans="2:9" ht="61.5" customHeight="1" thickBot="1">
      <c r="B9" s="67"/>
      <c r="C9" s="139" t="s">
        <v>487</v>
      </c>
      <c r="D9" s="593" t="s">
        <v>389</v>
      </c>
      <c r="E9" s="594"/>
      <c r="F9" s="198">
        <v>400</v>
      </c>
      <c r="G9" s="259" t="s">
        <v>449</v>
      </c>
      <c r="H9" s="198">
        <v>1005</v>
      </c>
      <c r="I9" s="68"/>
    </row>
    <row r="10" spans="2:9" ht="49.5" customHeight="1" thickBot="1">
      <c r="B10" s="67"/>
      <c r="C10" s="139" t="s">
        <v>487</v>
      </c>
      <c r="D10" s="593" t="s">
        <v>390</v>
      </c>
      <c r="E10" s="594"/>
      <c r="F10" s="199">
        <v>0</v>
      </c>
      <c r="G10" s="259" t="s">
        <v>422</v>
      </c>
      <c r="H10" s="199">
        <v>7120</v>
      </c>
      <c r="I10" s="68"/>
    </row>
    <row r="11" spans="2:14" ht="51" customHeight="1" thickBot="1">
      <c r="B11" s="67"/>
      <c r="C11" s="140" t="s">
        <v>486</v>
      </c>
      <c r="D11" s="593" t="s">
        <v>391</v>
      </c>
      <c r="E11" s="594"/>
      <c r="F11" s="199">
        <v>0</v>
      </c>
      <c r="G11" s="260" t="s">
        <v>450</v>
      </c>
      <c r="H11" s="200">
        <v>0.9</v>
      </c>
      <c r="I11" s="68"/>
      <c r="J11" s="610"/>
      <c r="K11" s="611"/>
      <c r="L11" s="611"/>
      <c r="M11" s="611"/>
      <c r="N11" s="611"/>
    </row>
    <row r="12" spans="2:10" ht="84.75" customHeight="1" thickBot="1">
      <c r="B12" s="67"/>
      <c r="C12" s="140" t="s">
        <v>486</v>
      </c>
      <c r="D12" s="593" t="s">
        <v>392</v>
      </c>
      <c r="E12" s="594"/>
      <c r="F12" s="199" t="s">
        <v>341</v>
      </c>
      <c r="G12" s="240" t="s">
        <v>451</v>
      </c>
      <c r="H12" s="199" t="s">
        <v>343</v>
      </c>
      <c r="I12" s="68"/>
      <c r="J12" s="222"/>
    </row>
    <row r="13" spans="2:9" ht="126.75" customHeight="1" thickBot="1">
      <c r="B13" s="67"/>
      <c r="C13" s="140" t="s">
        <v>486</v>
      </c>
      <c r="D13" s="593" t="s">
        <v>393</v>
      </c>
      <c r="E13" s="594"/>
      <c r="F13" s="199" t="s">
        <v>342</v>
      </c>
      <c r="G13" s="260" t="s">
        <v>488</v>
      </c>
      <c r="H13" s="199" t="s">
        <v>344</v>
      </c>
      <c r="I13" s="68"/>
    </row>
    <row r="14" spans="2:9" ht="62.25" customHeight="1" thickBot="1">
      <c r="B14" s="67"/>
      <c r="C14" s="140" t="s">
        <v>486</v>
      </c>
      <c r="D14" s="549" t="s">
        <v>394</v>
      </c>
      <c r="E14" s="550"/>
      <c r="F14" s="200">
        <v>0.05</v>
      </c>
      <c r="G14" s="260" t="s">
        <v>423</v>
      </c>
      <c r="H14" s="200">
        <v>0.9</v>
      </c>
      <c r="I14" s="68"/>
    </row>
    <row r="15" spans="2:10" ht="125.25" customHeight="1" thickBot="1">
      <c r="B15" s="67"/>
      <c r="C15" s="140" t="s">
        <v>486</v>
      </c>
      <c r="D15" s="595" t="s">
        <v>424</v>
      </c>
      <c r="E15" s="596"/>
      <c r="F15" s="199">
        <v>0</v>
      </c>
      <c r="G15" s="260" t="s">
        <v>452</v>
      </c>
      <c r="H15" s="199">
        <v>880</v>
      </c>
      <c r="I15" s="68"/>
      <c r="J15" s="6"/>
    </row>
    <row r="16" spans="2:9" ht="147" customHeight="1" thickBot="1">
      <c r="B16" s="67"/>
      <c r="C16" s="140" t="s">
        <v>486</v>
      </c>
      <c r="D16" s="595" t="s">
        <v>400</v>
      </c>
      <c r="E16" s="596"/>
      <c r="F16" s="200">
        <v>0.05</v>
      </c>
      <c r="G16" s="261" t="s">
        <v>453</v>
      </c>
      <c r="H16" s="200">
        <v>0.8</v>
      </c>
      <c r="I16" s="68"/>
    </row>
    <row r="17" spans="2:9" ht="94.5" customHeight="1" thickBot="1">
      <c r="B17" s="67"/>
      <c r="C17" s="140" t="s">
        <v>486</v>
      </c>
      <c r="D17" s="593" t="s">
        <v>401</v>
      </c>
      <c r="E17" s="594"/>
      <c r="F17" s="199">
        <v>0</v>
      </c>
      <c r="G17" s="260" t="s">
        <v>489</v>
      </c>
      <c r="H17" s="199">
        <v>1005</v>
      </c>
      <c r="I17" s="68"/>
    </row>
    <row r="18" spans="2:9" ht="83.25" customHeight="1" thickBot="1">
      <c r="B18" s="67"/>
      <c r="C18" s="140" t="s">
        <v>486</v>
      </c>
      <c r="D18" s="593" t="s">
        <v>402</v>
      </c>
      <c r="E18" s="594"/>
      <c r="F18" s="199">
        <v>0</v>
      </c>
      <c r="G18" s="260" t="s">
        <v>425</v>
      </c>
      <c r="H18" s="199" t="s">
        <v>345</v>
      </c>
      <c r="I18" s="68"/>
    </row>
    <row r="19" spans="2:9" ht="54.75" customHeight="1" thickBot="1">
      <c r="B19" s="67"/>
      <c r="C19" s="140" t="s">
        <v>486</v>
      </c>
      <c r="D19" s="593" t="s">
        <v>403</v>
      </c>
      <c r="E19" s="594"/>
      <c r="F19" s="200">
        <v>0.25</v>
      </c>
      <c r="G19" s="240" t="s">
        <v>454</v>
      </c>
      <c r="H19" s="200">
        <v>0.5</v>
      </c>
      <c r="I19" s="68"/>
    </row>
    <row r="20" spans="2:19" ht="88.5" customHeight="1" thickBot="1">
      <c r="B20" s="67"/>
      <c r="C20" s="140" t="s">
        <v>486</v>
      </c>
      <c r="D20" s="593" t="s">
        <v>399</v>
      </c>
      <c r="E20" s="594"/>
      <c r="F20" s="199">
        <v>0</v>
      </c>
      <c r="G20" s="260" t="s">
        <v>426</v>
      </c>
      <c r="H20" s="199" t="s">
        <v>346</v>
      </c>
      <c r="I20" s="68"/>
      <c r="J20" s="591" t="s">
        <v>349</v>
      </c>
      <c r="K20" s="592"/>
      <c r="L20" s="592"/>
      <c r="M20" s="592"/>
      <c r="N20" s="592"/>
      <c r="O20" s="591"/>
      <c r="P20" s="592"/>
      <c r="Q20" s="592"/>
      <c r="R20" s="592"/>
      <c r="S20" s="592"/>
    </row>
    <row r="21" spans="2:19" ht="99" customHeight="1" thickBot="1">
      <c r="B21" s="67"/>
      <c r="C21" s="140" t="s">
        <v>486</v>
      </c>
      <c r="D21" s="612" t="s">
        <v>427</v>
      </c>
      <c r="E21" s="613"/>
      <c r="F21" s="255">
        <v>0</v>
      </c>
      <c r="G21" s="260" t="s">
        <v>455</v>
      </c>
      <c r="H21" s="199" t="s">
        <v>404</v>
      </c>
      <c r="I21" s="68"/>
      <c r="J21" s="272" t="s">
        <v>496</v>
      </c>
      <c r="K21" s="231"/>
      <c r="L21" s="231"/>
      <c r="M21" s="231"/>
      <c r="N21" s="231"/>
      <c r="O21" s="232"/>
      <c r="P21" s="231"/>
      <c r="Q21" s="231"/>
      <c r="R21" s="231"/>
      <c r="S21" s="231"/>
    </row>
    <row r="22" spans="2:15" ht="72" customHeight="1" thickBot="1">
      <c r="B22" s="67"/>
      <c r="C22" s="140" t="s">
        <v>486</v>
      </c>
      <c r="D22" s="593" t="s">
        <v>398</v>
      </c>
      <c r="E22" s="594"/>
      <c r="F22" s="199">
        <v>0</v>
      </c>
      <c r="G22" s="260" t="s">
        <v>428</v>
      </c>
      <c r="H22" s="199">
        <v>1</v>
      </c>
      <c r="I22" s="68"/>
      <c r="J22" s="591"/>
      <c r="K22" s="592"/>
      <c r="L22" s="592"/>
      <c r="M22" s="592"/>
      <c r="N22" s="592"/>
      <c r="O22" s="221"/>
    </row>
    <row r="23" spans="2:10" ht="126.75" customHeight="1" thickBot="1">
      <c r="B23" s="67"/>
      <c r="C23" s="140" t="s">
        <v>486</v>
      </c>
      <c r="D23" s="593" t="s">
        <v>397</v>
      </c>
      <c r="E23" s="594"/>
      <c r="F23" s="199">
        <v>0</v>
      </c>
      <c r="G23" s="260" t="s">
        <v>456</v>
      </c>
      <c r="H23" s="199">
        <v>9</v>
      </c>
      <c r="I23" s="68"/>
      <c r="J23" s="224"/>
    </row>
    <row r="24" spans="2:14" ht="96.75" customHeight="1" thickBot="1">
      <c r="B24" s="67"/>
      <c r="C24" s="140" t="s">
        <v>486</v>
      </c>
      <c r="D24" s="593" t="s">
        <v>396</v>
      </c>
      <c r="E24" s="594"/>
      <c r="F24" s="199">
        <v>0</v>
      </c>
      <c r="G24" s="260" t="s">
        <v>457</v>
      </c>
      <c r="H24" s="199">
        <v>1</v>
      </c>
      <c r="I24" s="68"/>
      <c r="K24" s="223"/>
      <c r="L24" s="223"/>
      <c r="M24" s="223"/>
      <c r="N24" s="223"/>
    </row>
    <row r="25" spans="2:9" ht="159.75" customHeight="1">
      <c r="B25" s="67"/>
      <c r="C25" s="140" t="s">
        <v>486</v>
      </c>
      <c r="D25" s="601" t="s">
        <v>395</v>
      </c>
      <c r="E25" s="602"/>
      <c r="F25" s="199">
        <v>0</v>
      </c>
      <c r="G25" s="260" t="s">
        <v>458</v>
      </c>
      <c r="H25" s="201" t="s">
        <v>405</v>
      </c>
      <c r="I25" s="68"/>
    </row>
    <row r="26" spans="2:9" ht="15">
      <c r="B26" s="67"/>
      <c r="C26" s="140"/>
      <c r="D26" s="599"/>
      <c r="E26" s="600"/>
      <c r="F26" s="130"/>
      <c r="G26" s="130"/>
      <c r="H26" s="130"/>
      <c r="I26" s="68"/>
    </row>
    <row r="27" spans="2:9" ht="15.75" thickBot="1">
      <c r="B27" s="67"/>
      <c r="C27" s="141"/>
      <c r="D27" s="597"/>
      <c r="E27" s="598"/>
      <c r="F27" s="131"/>
      <c r="G27" s="131"/>
      <c r="H27" s="131"/>
      <c r="I27" s="68"/>
    </row>
    <row r="28" spans="2:9" ht="15">
      <c r="B28" s="134"/>
      <c r="C28" s="129"/>
      <c r="D28" s="129"/>
      <c r="E28" s="129"/>
      <c r="F28" s="129"/>
      <c r="G28" s="129"/>
      <c r="H28" s="129"/>
      <c r="I28" s="135"/>
    </row>
    <row r="29" spans="2:9" ht="15">
      <c r="B29" s="134"/>
      <c r="C29" s="129"/>
      <c r="D29" s="129"/>
      <c r="E29" s="129"/>
      <c r="F29" s="129"/>
      <c r="G29" s="129"/>
      <c r="H29" s="129"/>
      <c r="I29" s="135"/>
    </row>
    <row r="30" spans="2:9" ht="15">
      <c r="B30" s="134"/>
      <c r="C30" s="129"/>
      <c r="D30" s="129"/>
      <c r="E30" s="129"/>
      <c r="F30" s="129"/>
      <c r="G30" s="129"/>
      <c r="H30" s="129"/>
      <c r="I30" s="135"/>
    </row>
    <row r="31" spans="2:9" ht="15">
      <c r="B31" s="134"/>
      <c r="C31" s="129"/>
      <c r="D31" s="129"/>
      <c r="E31" s="129"/>
      <c r="F31" s="129"/>
      <c r="G31" s="129"/>
      <c r="H31" s="129"/>
      <c r="I31" s="135"/>
    </row>
    <row r="32" spans="2:9" ht="15">
      <c r="B32" s="134"/>
      <c r="C32" s="129"/>
      <c r="D32" s="129"/>
      <c r="E32" s="129"/>
      <c r="F32" s="129"/>
      <c r="G32" s="129"/>
      <c r="H32" s="129"/>
      <c r="I32" s="135"/>
    </row>
    <row r="33" spans="2:9" ht="15.75" thickBot="1">
      <c r="B33" s="136"/>
      <c r="C33" s="137"/>
      <c r="D33" s="137"/>
      <c r="E33" s="137"/>
      <c r="F33" s="137"/>
      <c r="G33" s="137"/>
      <c r="H33" s="137"/>
      <c r="I33" s="138"/>
    </row>
  </sheetData>
  <sheetProtection/>
  <mergeCells count="28">
    <mergeCell ref="J11:N11"/>
    <mergeCell ref="D11:E11"/>
    <mergeCell ref="D12:E12"/>
    <mergeCell ref="D16:E16"/>
    <mergeCell ref="J20:N20"/>
    <mergeCell ref="D21:E21"/>
    <mergeCell ref="C4:H4"/>
    <mergeCell ref="C5:H5"/>
    <mergeCell ref="C6:H6"/>
    <mergeCell ref="D8:E8"/>
    <mergeCell ref="D9:E9"/>
    <mergeCell ref="D10:E10"/>
    <mergeCell ref="C7:D7"/>
    <mergeCell ref="D27:E27"/>
    <mergeCell ref="D19:E19"/>
    <mergeCell ref="D26:E26"/>
    <mergeCell ref="D20:E20"/>
    <mergeCell ref="D24:E24"/>
    <mergeCell ref="D23:E23"/>
    <mergeCell ref="D25:E25"/>
    <mergeCell ref="O20:S20"/>
    <mergeCell ref="J22:N22"/>
    <mergeCell ref="D13:E13"/>
    <mergeCell ref="D15:E15"/>
    <mergeCell ref="D17:E17"/>
    <mergeCell ref="D18:E18"/>
    <mergeCell ref="D14:E14"/>
    <mergeCell ref="D22:E22"/>
  </mergeCells>
  <printOptions horizontalCentered="1"/>
  <pageMargins left="0.31496062992125984" right="0.31496062992125984" top="0.5511811023622047" bottom="0.5511811023622047" header="0.31496062992125984" footer="0.31496062992125984"/>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B2:E34"/>
  <sheetViews>
    <sheetView zoomScale="110" zoomScaleNormal="110" zoomScalePageLayoutView="0" workbookViewId="0" topLeftCell="A1">
      <selection activeCell="D9" sqref="D9"/>
    </sheetView>
  </sheetViews>
  <sheetFormatPr defaultColWidth="9.140625" defaultRowHeight="15"/>
  <cols>
    <col min="3" max="3" width="29.57421875" style="0" customWidth="1"/>
    <col min="4" max="4" width="120.28125" style="0" customWidth="1"/>
  </cols>
  <sheetData>
    <row r="1" ht="15.75" thickBot="1"/>
    <row r="2" spans="2:5" ht="15.75" thickBot="1">
      <c r="B2" s="155"/>
      <c r="C2" s="88"/>
      <c r="D2" s="88"/>
      <c r="E2" s="89"/>
    </row>
    <row r="3" spans="2:5" ht="19.5" thickBot="1">
      <c r="B3" s="156"/>
      <c r="C3" s="615" t="s">
        <v>294</v>
      </c>
      <c r="D3" s="616"/>
      <c r="E3" s="157"/>
    </row>
    <row r="4" spans="2:5" ht="15">
      <c r="B4" s="156"/>
      <c r="C4" s="158"/>
      <c r="D4" s="158"/>
      <c r="E4" s="157"/>
    </row>
    <row r="5" spans="2:5" ht="15.75" thickBot="1">
      <c r="B5" s="156"/>
      <c r="C5" s="159" t="s">
        <v>295</v>
      </c>
      <c r="D5" s="158"/>
      <c r="E5" s="157"/>
    </row>
    <row r="6" spans="2:5" ht="29.25" thickBot="1">
      <c r="B6" s="156"/>
      <c r="C6" s="170" t="s">
        <v>296</v>
      </c>
      <c r="D6" s="171" t="s">
        <v>297</v>
      </c>
      <c r="E6" s="157"/>
    </row>
    <row r="7" spans="2:5" ht="175.5" customHeight="1" thickBot="1">
      <c r="B7" s="156"/>
      <c r="C7" s="160" t="s">
        <v>298</v>
      </c>
      <c r="D7" s="262" t="s">
        <v>459</v>
      </c>
      <c r="E7" s="157"/>
    </row>
    <row r="8" spans="2:5" ht="117.75" customHeight="1" thickBot="1">
      <c r="B8" s="156"/>
      <c r="C8" s="161" t="s">
        <v>325</v>
      </c>
      <c r="D8" s="263" t="s">
        <v>461</v>
      </c>
      <c r="E8" s="157"/>
    </row>
    <row r="9" spans="2:5" ht="132" customHeight="1" thickBot="1">
      <c r="B9" s="156"/>
      <c r="C9" s="162" t="s">
        <v>299</v>
      </c>
      <c r="D9" s="264" t="s">
        <v>464</v>
      </c>
      <c r="E9" s="157"/>
    </row>
    <row r="10" spans="2:5" ht="149.25" customHeight="1" thickBot="1">
      <c r="B10" s="156"/>
      <c r="C10" s="160" t="s">
        <v>317</v>
      </c>
      <c r="D10" s="262" t="s">
        <v>490</v>
      </c>
      <c r="E10" s="157"/>
    </row>
    <row r="11" spans="2:5" ht="15">
      <c r="B11" s="156"/>
      <c r="C11" s="158"/>
      <c r="D11" s="158"/>
      <c r="E11" s="157"/>
    </row>
    <row r="12" spans="2:5" ht="15.75" thickBot="1">
      <c r="B12" s="156"/>
      <c r="C12" s="617" t="s">
        <v>310</v>
      </c>
      <c r="D12" s="617"/>
      <c r="E12" s="157"/>
    </row>
    <row r="13" spans="2:5" ht="15.75" thickBot="1">
      <c r="B13" s="156"/>
      <c r="C13" s="172" t="s">
        <v>300</v>
      </c>
      <c r="D13" s="172" t="s">
        <v>297</v>
      </c>
      <c r="E13" s="157"/>
    </row>
    <row r="14" spans="2:5" ht="15.75" thickBot="1">
      <c r="B14" s="156"/>
      <c r="C14" s="614" t="s">
        <v>491</v>
      </c>
      <c r="D14" s="614"/>
      <c r="E14" s="157"/>
    </row>
    <row r="15" spans="2:5" ht="60.75" thickBot="1">
      <c r="B15" s="156"/>
      <c r="C15" s="162" t="s">
        <v>495</v>
      </c>
      <c r="D15" s="163"/>
      <c r="E15" s="157"/>
    </row>
    <row r="16" spans="2:5" ht="30.75" thickBot="1">
      <c r="B16" s="156"/>
      <c r="C16" s="162" t="s">
        <v>492</v>
      </c>
      <c r="D16" s="163"/>
      <c r="E16" s="157"/>
    </row>
    <row r="17" spans="2:5" ht="15.75" thickBot="1">
      <c r="B17" s="156"/>
      <c r="C17" s="164" t="s">
        <v>301</v>
      </c>
      <c r="D17" s="163"/>
      <c r="E17" s="157"/>
    </row>
    <row r="18" spans="2:5" ht="15.75" thickBot="1">
      <c r="B18" s="156"/>
      <c r="C18" s="614" t="s">
        <v>493</v>
      </c>
      <c r="D18" s="614"/>
      <c r="E18" s="157"/>
    </row>
    <row r="19" spans="2:5" ht="60.75" thickBot="1">
      <c r="B19" s="156"/>
      <c r="C19" s="162" t="s">
        <v>494</v>
      </c>
      <c r="D19" s="163"/>
      <c r="E19" s="157"/>
    </row>
    <row r="20" spans="2:5" ht="45.75" thickBot="1">
      <c r="B20" s="156"/>
      <c r="C20" s="162" t="s">
        <v>302</v>
      </c>
      <c r="D20" s="163"/>
      <c r="E20" s="157"/>
    </row>
    <row r="21" spans="2:5" ht="60.75" thickBot="1">
      <c r="B21" s="156"/>
      <c r="C21" s="165" t="s">
        <v>303</v>
      </c>
      <c r="D21" s="166"/>
      <c r="E21" s="157"/>
    </row>
    <row r="22" spans="2:5" ht="15.75" thickBot="1">
      <c r="B22" s="156"/>
      <c r="C22" s="614" t="s">
        <v>304</v>
      </c>
      <c r="D22" s="614"/>
      <c r="E22" s="157"/>
    </row>
    <row r="23" spans="2:5" ht="45.75" thickBot="1">
      <c r="B23" s="156"/>
      <c r="C23" s="165" t="s">
        <v>305</v>
      </c>
      <c r="D23" s="165"/>
      <c r="E23" s="157"/>
    </row>
    <row r="24" spans="2:5" ht="60.75" thickBot="1">
      <c r="B24" s="156"/>
      <c r="C24" s="165" t="s">
        <v>465</v>
      </c>
      <c r="D24" s="165"/>
      <c r="E24" s="157"/>
    </row>
    <row r="25" spans="2:5" ht="45.75" thickBot="1">
      <c r="B25" s="156"/>
      <c r="C25" s="165" t="s">
        <v>466</v>
      </c>
      <c r="D25" s="165"/>
      <c r="E25" s="157"/>
    </row>
    <row r="26" spans="2:5" ht="15.75" thickBot="1">
      <c r="B26" s="156"/>
      <c r="C26" s="614" t="s">
        <v>306</v>
      </c>
      <c r="D26" s="614"/>
      <c r="E26" s="157"/>
    </row>
    <row r="27" spans="2:5" ht="90.75" thickBot="1">
      <c r="B27" s="156"/>
      <c r="C27" s="162" t="s">
        <v>307</v>
      </c>
      <c r="D27" s="163"/>
      <c r="E27" s="157"/>
    </row>
    <row r="28" spans="2:5" ht="45.75" thickBot="1">
      <c r="B28" s="156"/>
      <c r="C28" s="162" t="s">
        <v>329</v>
      </c>
      <c r="D28" s="163"/>
      <c r="E28" s="157"/>
    </row>
    <row r="29" spans="2:5" ht="105.75" thickBot="1">
      <c r="B29" s="156"/>
      <c r="C29" s="162" t="s">
        <v>308</v>
      </c>
      <c r="D29" s="163"/>
      <c r="E29" s="157"/>
    </row>
    <row r="30" spans="2:5" ht="60.75" thickBot="1">
      <c r="B30" s="156"/>
      <c r="C30" s="162" t="s">
        <v>309</v>
      </c>
      <c r="D30" s="163"/>
      <c r="E30" s="157"/>
    </row>
    <row r="31" spans="2:5" ht="75.75" thickBot="1">
      <c r="B31" s="156"/>
      <c r="C31" s="162" t="s">
        <v>318</v>
      </c>
      <c r="D31" s="163"/>
      <c r="E31" s="157"/>
    </row>
    <row r="32" spans="2:5" ht="15">
      <c r="B32" s="156"/>
      <c r="C32" s="71"/>
      <c r="D32" s="71"/>
      <c r="E32" s="157"/>
    </row>
    <row r="33" spans="2:5" ht="15">
      <c r="B33" s="156"/>
      <c r="C33" s="71"/>
      <c r="D33" s="71"/>
      <c r="E33" s="157"/>
    </row>
    <row r="34" spans="2:5" ht="15.75" thickBot="1">
      <c r="B34" s="167"/>
      <c r="C34" s="168"/>
      <c r="D34" s="168"/>
      <c r="E34" s="169"/>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AO40"/>
  <sheetViews>
    <sheetView zoomScale="62" zoomScaleNormal="62" zoomScalePageLayoutView="0" workbookViewId="0" topLeftCell="A1">
      <selection activeCell="R12" sqref="R12"/>
    </sheetView>
  </sheetViews>
  <sheetFormatPr defaultColWidth="9.14062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9" max="9" width="9.140625" style="0" customWidth="1"/>
    <col min="16" max="16" width="10.00390625" style="0" customWidth="1"/>
  </cols>
  <sheetData>
    <row r="1" spans="2:8" ht="15.75" thickBot="1">
      <c r="B1" s="121"/>
      <c r="C1" s="121"/>
      <c r="D1" s="121"/>
      <c r="E1" s="121"/>
      <c r="F1" s="121"/>
      <c r="G1" s="121"/>
      <c r="H1" s="121"/>
    </row>
    <row r="2" spans="2:13" ht="15" customHeight="1" thickBot="1">
      <c r="B2" s="118"/>
      <c r="C2" s="627"/>
      <c r="D2" s="627"/>
      <c r="E2" s="627"/>
      <c r="F2" s="627"/>
      <c r="G2" s="627"/>
      <c r="H2" s="112"/>
      <c r="I2" s="112"/>
      <c r="J2" s="112"/>
      <c r="K2" s="112"/>
      <c r="L2" s="112"/>
      <c r="M2" s="113"/>
    </row>
    <row r="3" spans="2:13" ht="27" thickBot="1">
      <c r="B3" s="119"/>
      <c r="C3" s="637" t="s">
        <v>250</v>
      </c>
      <c r="D3" s="638"/>
      <c r="E3" s="638"/>
      <c r="F3" s="639"/>
      <c r="G3" s="120"/>
      <c r="H3" s="115"/>
      <c r="I3" s="115"/>
      <c r="J3" s="115"/>
      <c r="K3" s="115"/>
      <c r="L3" s="115"/>
      <c r="M3" s="117"/>
    </row>
    <row r="4" spans="2:13" ht="15" customHeight="1">
      <c r="B4" s="119"/>
      <c r="C4" s="120"/>
      <c r="D4" s="120"/>
      <c r="E4" s="120"/>
      <c r="F4" s="120"/>
      <c r="G4" s="120"/>
      <c r="H4" s="115"/>
      <c r="I4" s="115"/>
      <c r="J4" s="115"/>
      <c r="K4" s="115"/>
      <c r="L4" s="115"/>
      <c r="M4" s="117"/>
    </row>
    <row r="5" spans="2:13" ht="15.75" customHeight="1">
      <c r="B5" s="114"/>
      <c r="C5" s="115"/>
      <c r="D5" s="115"/>
      <c r="E5" s="115"/>
      <c r="F5" s="115"/>
      <c r="G5" s="115"/>
      <c r="H5" s="115"/>
      <c r="I5" s="115"/>
      <c r="J5" s="115"/>
      <c r="K5" s="115"/>
      <c r="L5" s="115"/>
      <c r="M5" s="117"/>
    </row>
    <row r="6" spans="2:13" ht="15.75" customHeight="1" thickBot="1">
      <c r="B6" s="114"/>
      <c r="C6" s="115"/>
      <c r="D6" s="115"/>
      <c r="E6" s="115"/>
      <c r="F6" s="115"/>
      <c r="G6" s="115"/>
      <c r="H6" s="115"/>
      <c r="I6" s="115"/>
      <c r="J6" s="115"/>
      <c r="K6" s="115"/>
      <c r="L6" s="115"/>
      <c r="M6" s="117"/>
    </row>
    <row r="7" spans="2:13" ht="15.75" customHeight="1">
      <c r="B7" s="628" t="s">
        <v>251</v>
      </c>
      <c r="C7" s="629"/>
      <c r="D7" s="629"/>
      <c r="E7" s="629"/>
      <c r="F7" s="629"/>
      <c r="G7" s="629"/>
      <c r="H7" s="629"/>
      <c r="I7" s="629"/>
      <c r="J7" s="629"/>
      <c r="K7" s="629"/>
      <c r="L7" s="629"/>
      <c r="M7" s="630"/>
    </row>
    <row r="8" spans="2:13" ht="15.75" customHeight="1" thickBot="1">
      <c r="B8" s="631"/>
      <c r="C8" s="632"/>
      <c r="D8" s="632"/>
      <c r="E8" s="632"/>
      <c r="F8" s="632"/>
      <c r="G8" s="632"/>
      <c r="H8" s="632"/>
      <c r="I8" s="632"/>
      <c r="J8" s="632"/>
      <c r="K8" s="632"/>
      <c r="L8" s="632"/>
      <c r="M8" s="633"/>
    </row>
    <row r="9" spans="2:13" ht="15.75" customHeight="1">
      <c r="B9" s="628" t="s">
        <v>285</v>
      </c>
      <c r="C9" s="629"/>
      <c r="D9" s="629"/>
      <c r="E9" s="629"/>
      <c r="F9" s="629"/>
      <c r="G9" s="629"/>
      <c r="H9" s="629"/>
      <c r="I9" s="629"/>
      <c r="J9" s="629"/>
      <c r="K9" s="629"/>
      <c r="L9" s="629"/>
      <c r="M9" s="630"/>
    </row>
    <row r="10" spans="2:13" ht="15.75" customHeight="1" thickBot="1">
      <c r="B10" s="634" t="s">
        <v>252</v>
      </c>
      <c r="C10" s="635"/>
      <c r="D10" s="635"/>
      <c r="E10" s="635"/>
      <c r="F10" s="635"/>
      <c r="G10" s="635"/>
      <c r="H10" s="635"/>
      <c r="I10" s="635"/>
      <c r="J10" s="635"/>
      <c r="K10" s="635"/>
      <c r="L10" s="635"/>
      <c r="M10" s="636"/>
    </row>
    <row r="11" spans="2:13" ht="15.75" customHeight="1" thickBot="1">
      <c r="B11" s="54"/>
      <c r="C11" s="54"/>
      <c r="D11" s="54"/>
      <c r="E11" s="54"/>
      <c r="F11" s="54"/>
      <c r="G11" s="54"/>
      <c r="H11" s="54"/>
      <c r="I11" s="54"/>
      <c r="J11" s="54"/>
      <c r="K11" s="54"/>
      <c r="L11" s="54"/>
      <c r="M11" s="54"/>
    </row>
    <row r="12" spans="2:13" ht="30" customHeight="1" thickBot="1">
      <c r="B12" s="624" t="s">
        <v>272</v>
      </c>
      <c r="C12" s="625"/>
      <c r="D12" s="626"/>
      <c r="E12" s="54"/>
      <c r="F12" s="54"/>
      <c r="G12" s="54"/>
      <c r="H12" s="13"/>
      <c r="I12" s="13"/>
      <c r="J12" s="13"/>
      <c r="K12" s="13"/>
      <c r="L12" s="13"/>
      <c r="M12" s="13"/>
    </row>
    <row r="13" spans="2:13" ht="8.25" customHeight="1" thickBot="1">
      <c r="B13" s="54"/>
      <c r="C13" s="54"/>
      <c r="D13" s="54"/>
      <c r="E13" s="54"/>
      <c r="F13" s="54"/>
      <c r="G13" s="54"/>
      <c r="H13" s="13"/>
      <c r="I13" s="13"/>
      <c r="J13" s="13"/>
      <c r="K13" s="13"/>
      <c r="L13" s="13"/>
      <c r="M13" s="13"/>
    </row>
    <row r="14" spans="2:13" ht="19.5" thickBot="1">
      <c r="B14" s="640" t="s">
        <v>253</v>
      </c>
      <c r="C14" s="641"/>
      <c r="D14" s="641"/>
      <c r="E14" s="641"/>
      <c r="F14" s="641"/>
      <c r="G14" s="641"/>
      <c r="H14" s="641"/>
      <c r="I14" s="641"/>
      <c r="J14" s="641"/>
      <c r="K14" s="641"/>
      <c r="L14" s="641"/>
      <c r="M14" s="642"/>
    </row>
    <row r="15" spans="2:16" s="41" customFormat="1" ht="72.75" customHeight="1" thickBot="1">
      <c r="B15" s="122" t="s">
        <v>254</v>
      </c>
      <c r="C15" s="146" t="s">
        <v>255</v>
      </c>
      <c r="D15" s="45" t="s">
        <v>256</v>
      </c>
      <c r="E15" s="45" t="s">
        <v>255</v>
      </c>
      <c r="F15" s="620" t="s">
        <v>257</v>
      </c>
      <c r="G15" s="621"/>
      <c r="H15" s="620" t="s">
        <v>258</v>
      </c>
      <c r="I15" s="621"/>
      <c r="J15" s="620" t="s">
        <v>259</v>
      </c>
      <c r="K15" s="621"/>
      <c r="L15" s="620" t="s">
        <v>286</v>
      </c>
      <c r="M15" s="621"/>
      <c r="P15" s="124"/>
    </row>
    <row r="16" spans="2:41" ht="319.5" thickBot="1">
      <c r="B16" s="42" t="s">
        <v>260</v>
      </c>
      <c r="C16" s="44"/>
      <c r="D16" s="39" t="s">
        <v>261</v>
      </c>
      <c r="E16" s="44"/>
      <c r="F16" s="618"/>
      <c r="G16" s="619"/>
      <c r="H16" s="618"/>
      <c r="I16" s="619"/>
      <c r="J16" s="618"/>
      <c r="K16" s="619"/>
      <c r="L16" s="618"/>
      <c r="M16" s="619"/>
      <c r="N16" s="9"/>
      <c r="O16" s="9"/>
      <c r="P16" s="127"/>
      <c r="Q16" s="9"/>
      <c r="R16" s="9"/>
      <c r="S16" s="9"/>
      <c r="T16" s="9"/>
      <c r="U16" s="9"/>
      <c r="V16" s="9"/>
      <c r="W16" s="9"/>
      <c r="X16" s="9"/>
      <c r="Y16" s="9"/>
      <c r="Z16" s="9"/>
      <c r="AA16" s="9"/>
      <c r="AB16" s="9"/>
      <c r="AC16" s="9"/>
      <c r="AD16" s="9"/>
      <c r="AE16" s="9"/>
      <c r="AF16" s="9"/>
      <c r="AG16" s="9"/>
      <c r="AH16" s="9"/>
      <c r="AI16" s="9"/>
      <c r="AJ16" s="121"/>
      <c r="AK16" s="121"/>
      <c r="AL16" s="121"/>
      <c r="AM16" s="121"/>
      <c r="AN16" s="121"/>
      <c r="AO16" s="121"/>
    </row>
    <row r="17" spans="2:41" s="13" customFormat="1" ht="9.75" customHeight="1" thickBot="1">
      <c r="B17" s="47"/>
      <c r="C17" s="47"/>
      <c r="D17" s="47"/>
      <c r="E17" s="47"/>
      <c r="F17" s="622"/>
      <c r="G17" s="623"/>
      <c r="H17" s="623"/>
      <c r="I17" s="623"/>
      <c r="J17" s="623"/>
      <c r="K17" s="623"/>
      <c r="L17" s="623"/>
      <c r="M17" s="623"/>
      <c r="N17" s="9"/>
      <c r="O17" s="9"/>
      <c r="P17" s="9"/>
      <c r="Q17" s="9"/>
      <c r="R17" s="9"/>
      <c r="S17" s="9"/>
      <c r="T17" s="9"/>
      <c r="U17" s="9"/>
      <c r="V17" s="9"/>
      <c r="W17" s="9"/>
      <c r="X17" s="9"/>
      <c r="Y17" s="9"/>
      <c r="Z17" s="9"/>
      <c r="AA17" s="9"/>
      <c r="AB17" s="9"/>
      <c r="AC17" s="9"/>
      <c r="AD17" s="9"/>
      <c r="AE17" s="9"/>
      <c r="AF17" s="9"/>
      <c r="AG17" s="9"/>
      <c r="AH17" s="9"/>
      <c r="AI17" s="9"/>
      <c r="AJ17" s="125"/>
      <c r="AK17" s="125"/>
      <c r="AL17" s="125"/>
      <c r="AM17" s="125"/>
      <c r="AN17" s="125"/>
      <c r="AO17" s="125"/>
    </row>
    <row r="18" spans="2:41" s="41" customFormat="1" ht="63.75" customHeight="1" thickBot="1">
      <c r="B18" s="122" t="s">
        <v>262</v>
      </c>
      <c r="C18" s="146" t="s">
        <v>255</v>
      </c>
      <c r="D18" s="45" t="s">
        <v>263</v>
      </c>
      <c r="E18" s="146" t="s">
        <v>255</v>
      </c>
      <c r="F18" s="620" t="s">
        <v>257</v>
      </c>
      <c r="G18" s="621"/>
      <c r="H18" s="620" t="s">
        <v>258</v>
      </c>
      <c r="I18" s="621"/>
      <c r="J18" s="620" t="s">
        <v>259</v>
      </c>
      <c r="K18" s="621"/>
      <c r="L18" s="620" t="s">
        <v>286</v>
      </c>
      <c r="M18" s="621"/>
      <c r="N18" s="128"/>
      <c r="O18" s="128"/>
      <c r="P18" s="127"/>
      <c r="Q18" s="128"/>
      <c r="R18" s="128"/>
      <c r="S18" s="128"/>
      <c r="T18" s="128"/>
      <c r="U18" s="128"/>
      <c r="V18" s="128"/>
      <c r="W18" s="128"/>
      <c r="X18" s="128"/>
      <c r="Y18" s="128"/>
      <c r="Z18" s="128"/>
      <c r="AA18" s="128"/>
      <c r="AB18" s="128"/>
      <c r="AC18" s="128"/>
      <c r="AD18" s="128"/>
      <c r="AE18" s="128"/>
      <c r="AF18" s="128"/>
      <c r="AG18" s="128"/>
      <c r="AH18" s="128"/>
      <c r="AI18" s="128"/>
      <c r="AJ18" s="126"/>
      <c r="AK18" s="126"/>
      <c r="AL18" s="126"/>
      <c r="AM18" s="126"/>
      <c r="AN18" s="126"/>
      <c r="AO18" s="126"/>
    </row>
    <row r="19" spans="2:41" ht="274.5" customHeight="1" thickBot="1">
      <c r="B19" s="43" t="s">
        <v>264</v>
      </c>
      <c r="C19" s="46"/>
      <c r="D19" s="40" t="s">
        <v>265</v>
      </c>
      <c r="E19" s="46"/>
      <c r="F19" s="618"/>
      <c r="G19" s="619"/>
      <c r="H19" s="618"/>
      <c r="I19" s="619"/>
      <c r="J19" s="618"/>
      <c r="K19" s="619"/>
      <c r="L19" s="618"/>
      <c r="M19" s="619"/>
      <c r="N19" s="9"/>
      <c r="O19" s="9"/>
      <c r="P19" s="127"/>
      <c r="Q19" s="9"/>
      <c r="R19" s="9"/>
      <c r="S19" s="9"/>
      <c r="T19" s="9"/>
      <c r="U19" s="9"/>
      <c r="V19" s="9"/>
      <c r="W19" s="9"/>
      <c r="X19" s="9"/>
      <c r="Y19" s="9"/>
      <c r="Z19" s="9"/>
      <c r="AA19" s="9"/>
      <c r="AB19" s="9"/>
      <c r="AC19" s="9"/>
      <c r="AD19" s="9"/>
      <c r="AE19" s="9"/>
      <c r="AF19" s="9"/>
      <c r="AG19" s="9"/>
      <c r="AH19" s="9"/>
      <c r="AI19" s="9"/>
      <c r="AJ19" s="121"/>
      <c r="AK19" s="121"/>
      <c r="AL19" s="121"/>
      <c r="AM19" s="121"/>
      <c r="AN19" s="121"/>
      <c r="AO19" s="121"/>
    </row>
    <row r="20" spans="14:41" ht="15.75" thickBot="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row>
    <row r="21" spans="2:41" ht="19.5" thickBot="1">
      <c r="B21" s="640" t="s">
        <v>266</v>
      </c>
      <c r="C21" s="641"/>
      <c r="D21" s="641"/>
      <c r="E21" s="641"/>
      <c r="F21" s="641"/>
      <c r="G21" s="641"/>
      <c r="H21" s="641"/>
      <c r="I21" s="641"/>
      <c r="J21" s="641"/>
      <c r="K21" s="641"/>
      <c r="L21" s="641"/>
      <c r="M21" s="64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row>
    <row r="22" spans="2:41" s="41" customFormat="1" ht="48" thickBot="1">
      <c r="B22" s="45" t="s">
        <v>254</v>
      </c>
      <c r="C22" s="146" t="s">
        <v>255</v>
      </c>
      <c r="D22" s="45" t="s">
        <v>256</v>
      </c>
      <c r="E22" s="146" t="s">
        <v>255</v>
      </c>
      <c r="F22" s="620" t="s">
        <v>267</v>
      </c>
      <c r="G22" s="621"/>
      <c r="H22" s="620" t="s">
        <v>268</v>
      </c>
      <c r="I22" s="621"/>
      <c r="J22" s="620" t="s">
        <v>259</v>
      </c>
      <c r="K22" s="621"/>
      <c r="L22" s="620" t="s">
        <v>286</v>
      </c>
      <c r="M22" s="643"/>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row>
    <row r="23" spans="2:13" ht="321.75" customHeight="1" thickBot="1">
      <c r="B23" s="42" t="s">
        <v>260</v>
      </c>
      <c r="C23" s="44"/>
      <c r="D23" s="39" t="s">
        <v>261</v>
      </c>
      <c r="E23" s="44"/>
      <c r="F23" s="618"/>
      <c r="G23" s="619"/>
      <c r="H23" s="618"/>
      <c r="I23" s="619"/>
      <c r="J23" s="618"/>
      <c r="K23" s="619"/>
      <c r="L23" s="618"/>
      <c r="M23" s="619"/>
    </row>
    <row r="24" spans="2:13" s="13" customFormat="1" ht="9.75" customHeight="1" thickBot="1">
      <c r="B24" s="47"/>
      <c r="C24" s="47"/>
      <c r="D24" s="47"/>
      <c r="E24" s="47"/>
      <c r="F24" s="622"/>
      <c r="G24" s="623"/>
      <c r="H24" s="623"/>
      <c r="I24" s="623"/>
      <c r="J24" s="623"/>
      <c r="K24" s="623"/>
      <c r="L24" s="623"/>
      <c r="M24" s="644"/>
    </row>
    <row r="25" spans="2:13" s="41" customFormat="1" ht="48" thickBot="1">
      <c r="B25" s="45" t="s">
        <v>262</v>
      </c>
      <c r="C25" s="146" t="s">
        <v>255</v>
      </c>
      <c r="D25" s="45" t="s">
        <v>263</v>
      </c>
      <c r="E25" s="146" t="s">
        <v>255</v>
      </c>
      <c r="F25" s="620" t="s">
        <v>267</v>
      </c>
      <c r="G25" s="621"/>
      <c r="H25" s="620" t="s">
        <v>268</v>
      </c>
      <c r="I25" s="621"/>
      <c r="J25" s="620" t="s">
        <v>259</v>
      </c>
      <c r="K25" s="621"/>
      <c r="L25" s="620" t="s">
        <v>286</v>
      </c>
      <c r="M25" s="621"/>
    </row>
    <row r="26" spans="2:13" ht="409.5" thickBot="1">
      <c r="B26" s="43" t="s">
        <v>264</v>
      </c>
      <c r="C26" s="46"/>
      <c r="D26" s="40" t="s">
        <v>265</v>
      </c>
      <c r="E26" s="46"/>
      <c r="F26" s="618"/>
      <c r="G26" s="619"/>
      <c r="H26" s="618"/>
      <c r="I26" s="619"/>
      <c r="J26" s="618"/>
      <c r="K26" s="619"/>
      <c r="L26" s="618"/>
      <c r="M26" s="619"/>
    </row>
    <row r="27" ht="15.75" thickBot="1"/>
    <row r="28" spans="2:13" ht="19.5" thickBot="1">
      <c r="B28" s="640" t="s">
        <v>269</v>
      </c>
      <c r="C28" s="641"/>
      <c r="D28" s="641"/>
      <c r="E28" s="641"/>
      <c r="F28" s="641"/>
      <c r="G28" s="641"/>
      <c r="H28" s="641"/>
      <c r="I28" s="641"/>
      <c r="J28" s="641"/>
      <c r="K28" s="641"/>
      <c r="L28" s="641"/>
      <c r="M28" s="642"/>
    </row>
    <row r="29" spans="2:13" s="41" customFormat="1" ht="48" thickBot="1">
      <c r="B29" s="45" t="s">
        <v>254</v>
      </c>
      <c r="C29" s="146" t="s">
        <v>255</v>
      </c>
      <c r="D29" s="45" t="s">
        <v>256</v>
      </c>
      <c r="E29" s="146" t="s">
        <v>255</v>
      </c>
      <c r="F29" s="620" t="s">
        <v>267</v>
      </c>
      <c r="G29" s="621"/>
      <c r="H29" s="620" t="s">
        <v>268</v>
      </c>
      <c r="I29" s="621"/>
      <c r="J29" s="620" t="s">
        <v>259</v>
      </c>
      <c r="K29" s="621"/>
      <c r="L29" s="620" t="s">
        <v>286</v>
      </c>
      <c r="M29" s="621"/>
    </row>
    <row r="30" spans="2:13" ht="203.25" customHeight="1" thickBot="1">
      <c r="B30" s="42" t="s">
        <v>260</v>
      </c>
      <c r="C30" s="44"/>
      <c r="D30" s="39" t="s">
        <v>261</v>
      </c>
      <c r="E30" s="44"/>
      <c r="F30" s="618"/>
      <c r="G30" s="619"/>
      <c r="H30" s="618"/>
      <c r="I30" s="619"/>
      <c r="J30" s="618"/>
      <c r="K30" s="619"/>
      <c r="L30" s="618"/>
      <c r="M30" s="619"/>
    </row>
    <row r="31" spans="2:13" s="13" customFormat="1" ht="9.75" customHeight="1" thickBot="1">
      <c r="B31" s="47"/>
      <c r="C31" s="47"/>
      <c r="D31" s="47"/>
      <c r="E31" s="47"/>
      <c r="F31" s="622"/>
      <c r="G31" s="623"/>
      <c r="H31" s="623"/>
      <c r="I31" s="623"/>
      <c r="J31" s="623"/>
      <c r="K31" s="623"/>
      <c r="L31" s="623"/>
      <c r="M31" s="644"/>
    </row>
    <row r="32" spans="2:13" s="41" customFormat="1" ht="48" thickBot="1">
      <c r="B32" s="53" t="s">
        <v>262</v>
      </c>
      <c r="C32" s="146" t="s">
        <v>255</v>
      </c>
      <c r="D32" s="53" t="s">
        <v>263</v>
      </c>
      <c r="E32" s="146" t="s">
        <v>255</v>
      </c>
      <c r="F32" s="620" t="s">
        <v>267</v>
      </c>
      <c r="G32" s="621"/>
      <c r="H32" s="620" t="s">
        <v>268</v>
      </c>
      <c r="I32" s="621"/>
      <c r="J32" s="620" t="s">
        <v>259</v>
      </c>
      <c r="K32" s="621"/>
      <c r="L32" s="620" t="s">
        <v>286</v>
      </c>
      <c r="M32" s="621"/>
    </row>
    <row r="33" spans="2:13" ht="273" customHeight="1" thickBot="1">
      <c r="B33" s="43" t="s">
        <v>264</v>
      </c>
      <c r="C33" s="46"/>
      <c r="D33" s="40" t="s">
        <v>265</v>
      </c>
      <c r="E33" s="46"/>
      <c r="F33" s="618"/>
      <c r="G33" s="619"/>
      <c r="H33" s="618"/>
      <c r="I33" s="619"/>
      <c r="J33" s="618"/>
      <c r="K33" s="619"/>
      <c r="L33" s="618"/>
      <c r="M33" s="619"/>
    </row>
    <row r="34" spans="2:15" s="13" customFormat="1" ht="16.5" thickBot="1">
      <c r="B34" s="48"/>
      <c r="C34" s="48"/>
      <c r="D34" s="49"/>
      <c r="E34" s="50"/>
      <c r="F34" s="49"/>
      <c r="G34" s="51"/>
      <c r="H34" s="52"/>
      <c r="I34" s="52"/>
      <c r="J34" s="52"/>
      <c r="K34" s="52"/>
      <c r="L34" s="52"/>
      <c r="M34" s="52"/>
      <c r="N34" s="52"/>
      <c r="O34" s="52"/>
    </row>
    <row r="35" spans="2:13" ht="19.5" thickBot="1">
      <c r="B35" s="640" t="s">
        <v>270</v>
      </c>
      <c r="C35" s="641"/>
      <c r="D35" s="641"/>
      <c r="E35" s="641"/>
      <c r="F35" s="641"/>
      <c r="G35" s="641"/>
      <c r="H35" s="641"/>
      <c r="I35" s="641"/>
      <c r="J35" s="641"/>
      <c r="K35" s="641"/>
      <c r="L35" s="641"/>
      <c r="M35" s="642"/>
    </row>
    <row r="36" spans="2:13" s="41" customFormat="1" ht="48" thickBot="1">
      <c r="B36" s="45" t="s">
        <v>254</v>
      </c>
      <c r="C36" s="146" t="s">
        <v>255</v>
      </c>
      <c r="D36" s="45" t="s">
        <v>256</v>
      </c>
      <c r="E36" s="146" t="s">
        <v>255</v>
      </c>
      <c r="F36" s="620" t="s">
        <v>267</v>
      </c>
      <c r="G36" s="621"/>
      <c r="H36" s="620" t="s">
        <v>268</v>
      </c>
      <c r="I36" s="621"/>
      <c r="J36" s="620" t="s">
        <v>259</v>
      </c>
      <c r="K36" s="621"/>
      <c r="L36" s="620" t="s">
        <v>286</v>
      </c>
      <c r="M36" s="621"/>
    </row>
    <row r="37" spans="2:13" ht="204" customHeight="1" thickBot="1">
      <c r="B37" s="42" t="s">
        <v>260</v>
      </c>
      <c r="C37" s="44"/>
      <c r="D37" s="39" t="s">
        <v>261</v>
      </c>
      <c r="E37" s="44"/>
      <c r="F37" s="618"/>
      <c r="G37" s="619"/>
      <c r="H37" s="618"/>
      <c r="I37" s="619"/>
      <c r="J37" s="618"/>
      <c r="K37" s="619"/>
      <c r="L37" s="618"/>
      <c r="M37" s="619"/>
    </row>
    <row r="38" spans="2:13" s="13" customFormat="1" ht="9.75" customHeight="1" thickBot="1">
      <c r="B38" s="47"/>
      <c r="C38" s="47"/>
      <c r="D38" s="47"/>
      <c r="E38" s="47"/>
      <c r="F38" s="622"/>
      <c r="G38" s="623"/>
      <c r="H38" s="623"/>
      <c r="I38" s="623"/>
      <c r="J38" s="623"/>
      <c r="K38" s="623"/>
      <c r="L38" s="623"/>
      <c r="M38" s="644"/>
    </row>
    <row r="39" spans="2:13" s="41" customFormat="1" ht="48" thickBot="1">
      <c r="B39" s="45" t="s">
        <v>262</v>
      </c>
      <c r="C39" s="146" t="s">
        <v>255</v>
      </c>
      <c r="D39" s="45" t="s">
        <v>263</v>
      </c>
      <c r="E39" s="146" t="s">
        <v>255</v>
      </c>
      <c r="F39" s="620" t="s">
        <v>267</v>
      </c>
      <c r="G39" s="621"/>
      <c r="H39" s="620" t="s">
        <v>268</v>
      </c>
      <c r="I39" s="621"/>
      <c r="J39" s="620" t="s">
        <v>259</v>
      </c>
      <c r="K39" s="621"/>
      <c r="L39" s="620" t="s">
        <v>286</v>
      </c>
      <c r="M39" s="621"/>
    </row>
    <row r="40" spans="2:13" ht="271.5" customHeight="1" thickBot="1">
      <c r="B40" s="43" t="s">
        <v>264</v>
      </c>
      <c r="C40" s="46"/>
      <c r="D40" s="40" t="s">
        <v>265</v>
      </c>
      <c r="E40" s="46"/>
      <c r="F40" s="618"/>
      <c r="G40" s="619"/>
      <c r="H40" s="618"/>
      <c r="I40" s="619"/>
      <c r="J40" s="618"/>
      <c r="K40" s="619"/>
      <c r="L40" s="618"/>
      <c r="M40" s="619"/>
    </row>
  </sheetData>
  <sheetProtection/>
  <mergeCells count="78">
    <mergeCell ref="H32:I32"/>
    <mergeCell ref="F31:M31"/>
    <mergeCell ref="F32:G32"/>
    <mergeCell ref="F38:M38"/>
    <mergeCell ref="F36:G36"/>
    <mergeCell ref="H36:I36"/>
    <mergeCell ref="J36:K36"/>
    <mergeCell ref="L36:M36"/>
    <mergeCell ref="F37:G37"/>
    <mergeCell ref="H37:I37"/>
    <mergeCell ref="J37:K37"/>
    <mergeCell ref="L33:M33"/>
    <mergeCell ref="B35:M35"/>
    <mergeCell ref="F40:G40"/>
    <mergeCell ref="H40:I40"/>
    <mergeCell ref="J40:K40"/>
    <mergeCell ref="L40:M40"/>
    <mergeCell ref="L37:M37"/>
    <mergeCell ref="F26:G26"/>
    <mergeCell ref="F39:G39"/>
    <mergeCell ref="H39:I39"/>
    <mergeCell ref="J39:K39"/>
    <mergeCell ref="L39:M39"/>
    <mergeCell ref="J32:K32"/>
    <mergeCell ref="L32:M32"/>
    <mergeCell ref="F33:G33"/>
    <mergeCell ref="H33:I33"/>
    <mergeCell ref="J33:K33"/>
    <mergeCell ref="B28:M28"/>
    <mergeCell ref="F29:G29"/>
    <mergeCell ref="H29:I29"/>
    <mergeCell ref="J29:K29"/>
    <mergeCell ref="L29:M29"/>
    <mergeCell ref="F30:G30"/>
    <mergeCell ref="L23:M23"/>
    <mergeCell ref="H30:I30"/>
    <mergeCell ref="J30:K30"/>
    <mergeCell ref="L30:M30"/>
    <mergeCell ref="B21:M21"/>
    <mergeCell ref="F24:M24"/>
    <mergeCell ref="F25:G25"/>
    <mergeCell ref="H25:I25"/>
    <mergeCell ref="J25:K25"/>
    <mergeCell ref="L25:M25"/>
    <mergeCell ref="H26:I26"/>
    <mergeCell ref="J26:K26"/>
    <mergeCell ref="L26:M26"/>
    <mergeCell ref="F22:G22"/>
    <mergeCell ref="H22:I22"/>
    <mergeCell ref="J22:K22"/>
    <mergeCell ref="L22:M22"/>
    <mergeCell ref="F23:G23"/>
    <mergeCell ref="H23:I23"/>
    <mergeCell ref="J23:K23"/>
    <mergeCell ref="C2:G2"/>
    <mergeCell ref="H15:I15"/>
    <mergeCell ref="J15:K15"/>
    <mergeCell ref="B7:M8"/>
    <mergeCell ref="B9:M9"/>
    <mergeCell ref="B10:M10"/>
    <mergeCell ref="C3:F3"/>
    <mergeCell ref="B14:M14"/>
    <mergeCell ref="F18:G18"/>
    <mergeCell ref="H18:I18"/>
    <mergeCell ref="J18:K18"/>
    <mergeCell ref="L18:M18"/>
    <mergeCell ref="B12:D12"/>
    <mergeCell ref="F15:G15"/>
    <mergeCell ref="F19:G19"/>
    <mergeCell ref="H19:I19"/>
    <mergeCell ref="J19:K19"/>
    <mergeCell ref="L19:M19"/>
    <mergeCell ref="L15:M15"/>
    <mergeCell ref="F16:G16"/>
    <mergeCell ref="H16:I16"/>
    <mergeCell ref="J16:K16"/>
    <mergeCell ref="L16:M16"/>
    <mergeCell ref="F17:M17"/>
  </mergeCells>
  <dataValidations count="4">
    <dataValidation type="list" allowBlank="1" showInputMessage="1" showErrorMessage="1" sqref="E37 E30 E16 E23">
      <formula1>"1,2.1,2.2,3.1,3.2,4.1,4.2,5,6.1,6.2,7"</formula1>
    </dataValidation>
    <dataValidation type="list" allowBlank="1" showInputMessage="1" showErrorMessage="1" sqref="E40 E33 E19 F34 E26">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H4" sqref="H4"/>
    </sheetView>
  </sheetViews>
  <sheetFormatPr defaultColWidth="9.140625" defaultRowHeight="15"/>
  <cols>
    <col min="2" max="2" width="109.28125" style="0" customWidth="1"/>
  </cols>
  <sheetData>
    <row r="1" ht="16.5" thickBot="1">
      <c r="B1" s="55" t="s">
        <v>246</v>
      </c>
    </row>
    <row r="2" ht="306.75" thickBot="1">
      <c r="B2" s="56" t="s">
        <v>247</v>
      </c>
    </row>
    <row r="3" ht="16.5" thickBot="1">
      <c r="B3" s="55" t="s">
        <v>248</v>
      </c>
    </row>
    <row r="4" ht="243" thickBot="1">
      <c r="B4" s="5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Daouda Ben Oumar Ndiaye</cp:lastModifiedBy>
  <cp:lastPrinted>2013-10-18T15:00:50Z</cp:lastPrinted>
  <dcterms:created xsi:type="dcterms:W3CDTF">2010-11-30T14:15:01Z</dcterms:created>
  <dcterms:modified xsi:type="dcterms:W3CDTF">2014-10-03T21:30:02Z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64</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http://wbdocsservices.worldbank.org/services?I4_SERVICE=VC&amp;I4_KEY=TF069012&amp;I4_DOCID=090224b085c00134</vt:lpwstr>
  </property>
  <property fmtid="{D5CDD505-2E9C-101B-9397-08002B2CF9AE}" pid="9" name="UpdatedtoDB">
    <vt:lpwstr>Yes</vt:lpwstr>
  </property>
  <property fmtid="{D5CDD505-2E9C-101B-9397-08002B2CF9AE}" pid="10" name="WorkflowChangePath">
    <vt:lpwstr>6928cf46-c326-4255-ab09-b0d79a1ac86c,4;6928cf46-c326-4255-ab09-b0d79a1ac86c,6;</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No</vt:lpwstr>
  </property>
  <property fmtid="{D5CDD505-2E9C-101B-9397-08002B2CF9AE}" pid="17" name="WBDocsDocURLPublicOnly">
    <vt:lpwstr/>
  </property>
  <property fmtid="{D5CDD505-2E9C-101B-9397-08002B2CF9AE}" pid="18" name="ApproverUPI_WBDocs">
    <vt:lpwstr>000384891</vt:lpwstr>
  </property>
  <property fmtid="{D5CDD505-2E9C-101B-9397-08002B2CF9AE}" pid="19" name="DocumentType_WBDocs">
    <vt:lpwstr>Project Status Report</vt:lpwstr>
  </property>
</Properties>
</file>